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560" yWindow="705" windowWidth="9540" windowHeight="4515" tabRatio="954" firstSheet="2" activeTab="15"/>
  </bookViews>
  <sheets>
    <sheet name="1.СЭЭ вид деят" sheetId="1" r:id="rId1"/>
    <sheet name="2.сан.гиг. услуги" sheetId="2" r:id="rId2"/>
    <sheet name="3.С-Г иссл." sheetId="3" r:id="rId3"/>
    <sheet name="4.токсик" sheetId="4" r:id="rId4"/>
    <sheet name="5.возд" sheetId="5" r:id="rId5"/>
    <sheet name="6.сан-бак" sheetId="6" r:id="rId6"/>
    <sheet name="7.мб клиника" sheetId="7" r:id="rId7"/>
    <sheet name="8.вирус" sheetId="8" r:id="rId8"/>
    <sheet name="9.ООИ" sheetId="9" r:id="rId9"/>
    <sheet name="10.паразит" sheetId="10" r:id="rId10"/>
    <sheet name="11.радиац" sheetId="11" r:id="rId11"/>
    <sheet name="12.сан-физ" sheetId="12" r:id="rId12"/>
    <sheet name="13. обучение" sheetId="13" r:id="rId13"/>
    <sheet name="экспертиза" sheetId="14" r:id="rId14"/>
    <sheet name="экспертиза срочная" sheetId="15" r:id="rId15"/>
    <sheet name="коэффициент" sheetId="16" r:id="rId16"/>
  </sheets>
  <definedNames>
    <definedName name="_xlnm._FilterDatabase" localSheetId="2" hidden="1">'3.С-Г иссл.'!$A$17:$E$419</definedName>
    <definedName name="_xlnm._FilterDatabase" localSheetId="6" hidden="1">'7.мб клиника'!$A$10:$F$39</definedName>
    <definedName name="_xlnm._FilterDatabase" localSheetId="7" hidden="1">'8.вирус'!$A$18:$C$18</definedName>
    <definedName name="А1">#REF!</definedName>
    <definedName name="_xlnm.Print_Titles" localSheetId="0">'1.СЭЭ вид деят'!$10:$11</definedName>
    <definedName name="_xlnm.Print_Titles" localSheetId="9">'10.паразит'!$18:$18</definedName>
    <definedName name="_xlnm.Print_Titles" localSheetId="10">'11.радиац'!$9:$10</definedName>
    <definedName name="_xlnm.Print_Titles" localSheetId="11">'12.сан-физ'!$18:$19</definedName>
    <definedName name="_xlnm.Print_Titles" localSheetId="12">'13. обучение'!$12:$14</definedName>
    <definedName name="_xlnm.Print_Titles" localSheetId="2">'3.С-Г иссл.'!$12:$13</definedName>
    <definedName name="_xlnm.Print_Titles" localSheetId="3">'4.токсик'!$12:$13</definedName>
    <definedName name="_xlnm.Print_Titles" localSheetId="4">'5.возд'!$17:$17</definedName>
    <definedName name="_xlnm.Print_Titles" localSheetId="5">'6.сан-бак'!$12:$13</definedName>
    <definedName name="_xlnm.Print_Titles" localSheetId="6">'7.мб клиника'!$10:$11</definedName>
    <definedName name="_xlnm.Print_Titles" localSheetId="7">'8.вирус'!$18:$19</definedName>
    <definedName name="_xlnm.Print_Titles" localSheetId="8">'9.ООИ'!$17:$18</definedName>
    <definedName name="_xlnm.Print_Titles" localSheetId="13">'экспертиза'!$9:$10</definedName>
  </definedNames>
  <calcPr fullCalcOnLoad="1"/>
</workbook>
</file>

<file path=xl/sharedStrings.xml><?xml version="1.0" encoding="utf-8"?>
<sst xmlns="http://schemas.openxmlformats.org/spreadsheetml/2006/main" count="5428" uniqueCount="3765">
  <si>
    <t>4.18.1.</t>
  </si>
  <si>
    <t>4.18.2.</t>
  </si>
  <si>
    <t>4.18.3.</t>
  </si>
  <si>
    <t>4.18.4</t>
  </si>
  <si>
    <t>4.18.5.</t>
  </si>
  <si>
    <t>4.18.6.</t>
  </si>
  <si>
    <t>4.18.7.</t>
  </si>
  <si>
    <t>4.18.8.</t>
  </si>
  <si>
    <t>4.18.9.</t>
  </si>
  <si>
    <t>4.18.10.</t>
  </si>
  <si>
    <t>4.18.11.</t>
  </si>
  <si>
    <t>4.18.12.</t>
  </si>
  <si>
    <t>4.18.13.</t>
  </si>
  <si>
    <t>4.19.1.</t>
  </si>
  <si>
    <t>4.19.2.</t>
  </si>
  <si>
    <t>4.19.3.</t>
  </si>
  <si>
    <t>4.19.4.</t>
  </si>
  <si>
    <t>4.20.1.</t>
  </si>
  <si>
    <t>4.20.2.</t>
  </si>
  <si>
    <t>4.20.3.</t>
  </si>
  <si>
    <t>4.20.4.</t>
  </si>
  <si>
    <t>4.20.5.</t>
  </si>
  <si>
    <t>4.20.6.</t>
  </si>
  <si>
    <t>4.20.7.</t>
  </si>
  <si>
    <t>4.21.1.</t>
  </si>
  <si>
    <t>4.21.2.</t>
  </si>
  <si>
    <t>4.21.3.</t>
  </si>
  <si>
    <t>4.21.4.</t>
  </si>
  <si>
    <t>4.21.5.</t>
  </si>
  <si>
    <t>4.21.6.</t>
  </si>
  <si>
    <t>4.21.7.</t>
  </si>
  <si>
    <t>4.21.8.</t>
  </si>
  <si>
    <t>4.22.1.</t>
  </si>
  <si>
    <t>4.22.2.</t>
  </si>
  <si>
    <t>4.22.3.</t>
  </si>
  <si>
    <t>4.22.4.</t>
  </si>
  <si>
    <t>4.22.5.</t>
  </si>
  <si>
    <t>4.22.6.</t>
  </si>
  <si>
    <t>4.22.7.</t>
  </si>
  <si>
    <t>4.22.8.</t>
  </si>
  <si>
    <t>4.22.9.</t>
  </si>
  <si>
    <t>4.23.1.</t>
  </si>
  <si>
    <t>4.23.2.</t>
  </si>
  <si>
    <t>4.23.3.</t>
  </si>
  <si>
    <t>4.23.4.</t>
  </si>
  <si>
    <t>4.24.1.</t>
  </si>
  <si>
    <t>4.24.2.</t>
  </si>
  <si>
    <t>4.24.3.</t>
  </si>
  <si>
    <t>4.24.3.1.</t>
  </si>
  <si>
    <t>4.24.3.2.</t>
  </si>
  <si>
    <t>4.24.4.</t>
  </si>
  <si>
    <t>4.24.4.1.</t>
  </si>
  <si>
    <t>4.24.4.2.</t>
  </si>
  <si>
    <t>4.25.1.</t>
  </si>
  <si>
    <t>4.25.2.</t>
  </si>
  <si>
    <t>4.25.3.</t>
  </si>
  <si>
    <t>4.25.4.</t>
  </si>
  <si>
    <t>4.25.5.</t>
  </si>
  <si>
    <t>4.25.6.</t>
  </si>
  <si>
    <t>4.25.7.</t>
  </si>
  <si>
    <t>4.25.8.</t>
  </si>
  <si>
    <t>4.26.1</t>
  </si>
  <si>
    <t>4.26.2.</t>
  </si>
  <si>
    <t>4.26.3.</t>
  </si>
  <si>
    <t>4.26.4.</t>
  </si>
  <si>
    <t>4.26.5.</t>
  </si>
  <si>
    <t>4.26.6.</t>
  </si>
  <si>
    <t>4.26.7.</t>
  </si>
  <si>
    <t>4.26.8.</t>
  </si>
  <si>
    <t>4.26.9.</t>
  </si>
  <si>
    <t>4.26.10.</t>
  </si>
  <si>
    <t>4.26.11.</t>
  </si>
  <si>
    <t>4.27.1.</t>
  </si>
  <si>
    <t>4.27.2.</t>
  </si>
  <si>
    <t>4.27.3.</t>
  </si>
  <si>
    <t>4.27.4.</t>
  </si>
  <si>
    <t>4.27.5.</t>
  </si>
  <si>
    <t>4.27.6.</t>
  </si>
  <si>
    <t>4.27.7.</t>
  </si>
  <si>
    <t>4.27.8.</t>
  </si>
  <si>
    <t>4.27.9.</t>
  </si>
  <si>
    <t>4.27.10.</t>
  </si>
  <si>
    <t>4.27.11.</t>
  </si>
  <si>
    <t>4.27.12.</t>
  </si>
  <si>
    <t>4.28.1.</t>
  </si>
  <si>
    <t>4.28.2.</t>
  </si>
  <si>
    <t>4.28.3.</t>
  </si>
  <si>
    <t>4.28.4.</t>
  </si>
  <si>
    <t>4.28.5.</t>
  </si>
  <si>
    <t>4.28.6.</t>
  </si>
  <si>
    <t>4.28.7.</t>
  </si>
  <si>
    <t>4.28.8.</t>
  </si>
  <si>
    <t>4.28.9.</t>
  </si>
  <si>
    <t>4.28.10.</t>
  </si>
  <si>
    <t>4.28.11.</t>
  </si>
  <si>
    <t>4.28.12.</t>
  </si>
  <si>
    <t>4.28.13.</t>
  </si>
  <si>
    <t>4.29.1.</t>
  </si>
  <si>
    <t>4.29.2.</t>
  </si>
  <si>
    <t>4.29.3.</t>
  </si>
  <si>
    <t>4.29.4.</t>
  </si>
  <si>
    <t>4.29.5.</t>
  </si>
  <si>
    <t>4.29.6.</t>
  </si>
  <si>
    <t>4.29.7.</t>
  </si>
  <si>
    <t>4.29.8.</t>
  </si>
  <si>
    <t>4.29.9.</t>
  </si>
  <si>
    <t>4.29.10.</t>
  </si>
  <si>
    <t>4.29.11.</t>
  </si>
  <si>
    <t>4.29.12.</t>
  </si>
  <si>
    <t>4.29.13.</t>
  </si>
  <si>
    <t>4.30.1.</t>
  </si>
  <si>
    <t>4.30.1.1.</t>
  </si>
  <si>
    <t>4.30.1.2.</t>
  </si>
  <si>
    <t>4.30.2.</t>
  </si>
  <si>
    <t>4.30.2.1.</t>
  </si>
  <si>
    <t>4.30.2.2.</t>
  </si>
  <si>
    <t>4.30.2.3.</t>
  </si>
  <si>
    <t>4.30.3.</t>
  </si>
  <si>
    <t>4.30.3.1.</t>
  </si>
  <si>
    <t>4.30.3.2.</t>
  </si>
  <si>
    <t>4.30.3.3.</t>
  </si>
  <si>
    <t>4.30.4.</t>
  </si>
  <si>
    <t>4.30.5.</t>
  </si>
  <si>
    <t>4.30.6.</t>
  </si>
  <si>
    <t>4.30.7.</t>
  </si>
  <si>
    <t>4.30.8.</t>
  </si>
  <si>
    <t>4.30.9.</t>
  </si>
  <si>
    <t>4.30.10.</t>
  </si>
  <si>
    <t>4.30.11.</t>
  </si>
  <si>
    <t>4.30.12.</t>
  </si>
  <si>
    <t>4.30.13.</t>
  </si>
  <si>
    <t>4.30.14.</t>
  </si>
  <si>
    <t>4.30.15</t>
  </si>
  <si>
    <t>4.30.16.</t>
  </si>
  <si>
    <t>4.31.1.</t>
  </si>
  <si>
    <t>4.31.2.</t>
  </si>
  <si>
    <t>4.31.3.</t>
  </si>
  <si>
    <t>4.31.4.</t>
  </si>
  <si>
    <t>4.32.</t>
  </si>
  <si>
    <t>4.32.1.</t>
  </si>
  <si>
    <t>4.32.2.</t>
  </si>
  <si>
    <t>4.32.3.</t>
  </si>
  <si>
    <t>4.32.4</t>
  </si>
  <si>
    <t>4.32.5.</t>
  </si>
  <si>
    <t>4.33.</t>
  </si>
  <si>
    <t>4.33.1</t>
  </si>
  <si>
    <t>4.33.2.</t>
  </si>
  <si>
    <t>4.33.3.</t>
  </si>
  <si>
    <t>4.33.4.</t>
  </si>
  <si>
    <t>4.33.5.</t>
  </si>
  <si>
    <t>4.34.</t>
  </si>
  <si>
    <t>4.34.1</t>
  </si>
  <si>
    <t>4.34.2.</t>
  </si>
  <si>
    <t>4.34.3.</t>
  </si>
  <si>
    <t>4.34.4.</t>
  </si>
  <si>
    <t>4.35.</t>
  </si>
  <si>
    <t>4.35.1.</t>
  </si>
  <si>
    <t>4.35.2.</t>
  </si>
  <si>
    <t>4.35.3.</t>
  </si>
  <si>
    <t>4.35.4.</t>
  </si>
  <si>
    <t>4.35.5.</t>
  </si>
  <si>
    <t>4.35.6.</t>
  </si>
  <si>
    <t>4.35.7.</t>
  </si>
  <si>
    <t>4.35.8.</t>
  </si>
  <si>
    <t>4.35.9.</t>
  </si>
  <si>
    <t>4.35.10.</t>
  </si>
  <si>
    <t>4.36.</t>
  </si>
  <si>
    <t>4.36.1.</t>
  </si>
  <si>
    <t>4.36.2.</t>
  </si>
  <si>
    <t>4.36.3.</t>
  </si>
  <si>
    <t>4.36.4.</t>
  </si>
  <si>
    <t>4.37.</t>
  </si>
  <si>
    <t>4.37.1.</t>
  </si>
  <si>
    <t>4.37.2.</t>
  </si>
  <si>
    <t>4.37.3.</t>
  </si>
  <si>
    <t>4.37.4.</t>
  </si>
  <si>
    <t>4.38.</t>
  </si>
  <si>
    <t>4.38.1.</t>
  </si>
  <si>
    <t>4.38.2.</t>
  </si>
  <si>
    <t>4.38.3.</t>
  </si>
  <si>
    <t>4.38.4.</t>
  </si>
  <si>
    <t>4.38.5.</t>
  </si>
  <si>
    <t>4.38.6.</t>
  </si>
  <si>
    <t>4.38.7.</t>
  </si>
  <si>
    <t>4.38.8.</t>
  </si>
  <si>
    <t>4.38.9.</t>
  </si>
  <si>
    <t>4.38.10.</t>
  </si>
  <si>
    <t>4.38.11.</t>
  </si>
  <si>
    <t>4.39.</t>
  </si>
  <si>
    <t>4.39.1.</t>
  </si>
  <si>
    <t>4.39.2.</t>
  </si>
  <si>
    <t>4.39.3.</t>
  </si>
  <si>
    <t>4.40.</t>
  </si>
  <si>
    <t>4.40.1</t>
  </si>
  <si>
    <t>4.40.2.</t>
  </si>
  <si>
    <t>4.40.3.</t>
  </si>
  <si>
    <t>4.40.4.</t>
  </si>
  <si>
    <t>4.40.5.</t>
  </si>
  <si>
    <t>4.40.6.</t>
  </si>
  <si>
    <t>4.40.7.</t>
  </si>
  <si>
    <t>4.40.8.</t>
  </si>
  <si>
    <t>4.40.9.</t>
  </si>
  <si>
    <t>4.40.10.</t>
  </si>
  <si>
    <t>4.40.11.</t>
  </si>
  <si>
    <t>4.41.</t>
  </si>
  <si>
    <t>4.41.1.</t>
  </si>
  <si>
    <t>4.41.2.</t>
  </si>
  <si>
    <t>4.41.3.</t>
  </si>
  <si>
    <t>4.41.4.</t>
  </si>
  <si>
    <t>4.42.</t>
  </si>
  <si>
    <t>4.42.1.</t>
  </si>
  <si>
    <t>4.42.2.</t>
  </si>
  <si>
    <t>4.42.3.</t>
  </si>
  <si>
    <t>4.42.4.</t>
  </si>
  <si>
    <t>4.42.5.</t>
  </si>
  <si>
    <t>4.5. Санитарно-гигиеническая экспертиза книжных изданий</t>
  </si>
  <si>
    <t>4.5.1.1.</t>
  </si>
  <si>
    <t>4.5.1.2.</t>
  </si>
  <si>
    <t>4.5.1.3.</t>
  </si>
  <si>
    <t>4.5.2.1</t>
  </si>
  <si>
    <t>4.5.2.2.</t>
  </si>
  <si>
    <t>4.5.2.3.</t>
  </si>
  <si>
    <t>4.5.2.4.</t>
  </si>
  <si>
    <t>4.5.2.5.</t>
  </si>
  <si>
    <t>4.5.2.6.</t>
  </si>
  <si>
    <t>4.5.2.7.</t>
  </si>
  <si>
    <t>4.5.2.8.</t>
  </si>
  <si>
    <t>4.5.2.9.</t>
  </si>
  <si>
    <t>4.5.2.10.</t>
  </si>
  <si>
    <t>4.5.2.11.</t>
  </si>
  <si>
    <t>4.5.2.12.</t>
  </si>
  <si>
    <t>4.6 Биологические пробы</t>
  </si>
  <si>
    <t>4.6.1.1.</t>
  </si>
  <si>
    <t>4.6.1.2.</t>
  </si>
  <si>
    <t>4.6.1.3.</t>
  </si>
  <si>
    <t>4.6.1.4.</t>
  </si>
  <si>
    <t>4.6.1.5.</t>
  </si>
  <si>
    <t>4.6.1.6.</t>
  </si>
  <si>
    <t>5. Исследование воздуха</t>
  </si>
  <si>
    <t>5.1.5.</t>
  </si>
  <si>
    <t>5.1.6.</t>
  </si>
  <si>
    <t>5.1.7.</t>
  </si>
  <si>
    <t>5.1.8.</t>
  </si>
  <si>
    <t>5.1.9.</t>
  </si>
  <si>
    <t>5.1.10.</t>
  </si>
  <si>
    <t>5.1.11.</t>
  </si>
  <si>
    <t>5.1.12.</t>
  </si>
  <si>
    <t>5.1.13.</t>
  </si>
  <si>
    <t>5.1.14.</t>
  </si>
  <si>
    <t>5.1.15.</t>
  </si>
  <si>
    <t>5.1.16.</t>
  </si>
  <si>
    <t>5.1.17.</t>
  </si>
  <si>
    <t>5.2.4.</t>
  </si>
  <si>
    <t>5.2.5.</t>
  </si>
  <si>
    <t>5.2.6.</t>
  </si>
  <si>
    <t>5.2.7.</t>
  </si>
  <si>
    <t>5.2.8.</t>
  </si>
  <si>
    <t>5.2.9.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</si>
  <si>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</si>
  <si>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</si>
  <si>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</si>
  <si>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</si>
  <si>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</si>
  <si>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</si>
  <si>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</si>
  <si>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</si>
  <si>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</si>
  <si>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</si>
  <si>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</si>
  <si>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</si>
  <si>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</si>
  <si>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</si>
  <si>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</si>
  <si>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</si>
  <si>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</si>
  <si>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</si>
  <si>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</si>
  <si>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</si>
  <si>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</si>
  <si>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</si>
  <si>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</si>
  <si>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</si>
  <si>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</si>
  <si>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</si>
  <si>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</si>
  <si>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</si>
  <si>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</si>
  <si>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</si>
  <si>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</si>
  <si>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</si>
  <si>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</si>
  <si>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5.3.4.1.</t>
  </si>
  <si>
    <t>5.3.4.2.</t>
  </si>
  <si>
    <t>5.3.4.3.</t>
  </si>
  <si>
    <t>5.3.4.4.</t>
  </si>
  <si>
    <t>5.3.4.5.</t>
  </si>
  <si>
    <t>5.3.4.6.</t>
  </si>
  <si>
    <t>5.3.4.7.</t>
  </si>
  <si>
    <t>5.3.4.8.</t>
  </si>
  <si>
    <t>5.3.4.9.</t>
  </si>
  <si>
    <t>5.3.4.10.</t>
  </si>
  <si>
    <t>5.3.4.11.</t>
  </si>
  <si>
    <t>5.3.4.12.</t>
  </si>
  <si>
    <t>5.3.4.13.</t>
  </si>
  <si>
    <t>5.3.4.14.</t>
  </si>
  <si>
    <t>5.3.4.15.</t>
  </si>
  <si>
    <t>5.3.4.16.</t>
  </si>
  <si>
    <t>5.3.4.17.</t>
  </si>
  <si>
    <t>5.3.4.18.</t>
  </si>
  <si>
    <t>5.3.4.19.</t>
  </si>
  <si>
    <t>5.3.4.20.</t>
  </si>
  <si>
    <t>5.3.4.21.</t>
  </si>
  <si>
    <t>5.3.4.22.</t>
  </si>
  <si>
    <t>5.3.4.23.</t>
  </si>
  <si>
    <t>5.3.4.24.</t>
  </si>
  <si>
    <t>5.3.4.25.</t>
  </si>
  <si>
    <t>5.3.4.26.</t>
  </si>
  <si>
    <t>5.3.4.27.</t>
  </si>
  <si>
    <t>5.3.4.28.</t>
  </si>
  <si>
    <t>5.3.4.29.</t>
  </si>
  <si>
    <t>5.3.4.30.</t>
  </si>
  <si>
    <t>5.3.4.31.</t>
  </si>
  <si>
    <t>5.3.6.1.</t>
  </si>
  <si>
    <t>5.3.6.2.</t>
  </si>
  <si>
    <t>5.3.6.3.</t>
  </si>
  <si>
    <t>5.3.6.4.</t>
  </si>
  <si>
    <t>5.3.6.5.</t>
  </si>
  <si>
    <t>5.3.6.6.</t>
  </si>
  <si>
    <t>5.3.6.7.</t>
  </si>
  <si>
    <t>5.3.6.8.</t>
  </si>
  <si>
    <t>5.3.6.9.</t>
  </si>
  <si>
    <t>5.3.6.10.</t>
  </si>
  <si>
    <t>5.3.6.11.</t>
  </si>
  <si>
    <t>Массовая доля борной кислоты</t>
  </si>
  <si>
    <r>
      <t xml:space="preserve">Ед. </t>
    </r>
    <r>
      <rPr>
        <b/>
        <sz val="8"/>
        <color indexed="8"/>
        <rFont val="Times New Roman"/>
        <family val="1"/>
      </rPr>
      <t>изм.</t>
    </r>
  </si>
  <si>
    <r>
      <t xml:space="preserve">Трудоем </t>
    </r>
    <r>
      <rPr>
        <b/>
        <sz val="10"/>
        <color indexed="8"/>
        <rFont val="Times New Roman"/>
        <family val="1"/>
      </rPr>
      <t>(час)</t>
    </r>
  </si>
  <si>
    <t>Сумма без НДС</t>
  </si>
  <si>
    <t>Сумма с НДС</t>
  </si>
  <si>
    <t>Оформление протокола исследования</t>
  </si>
  <si>
    <t>Прием и регистрация пробы</t>
  </si>
  <si>
    <t>Затраты рабочего времени (мин.)</t>
  </si>
  <si>
    <t>Подготовка проб (в среднем по различным видам исследований)</t>
  </si>
  <si>
    <t>КМАФАнМ</t>
  </si>
  <si>
    <t>БГКП</t>
  </si>
  <si>
    <t>Патогенные микроорганизмы, в том числе сальмонеллы</t>
  </si>
  <si>
    <t>с выделением</t>
  </si>
  <si>
    <t>без выделения</t>
  </si>
  <si>
    <t xml:space="preserve">Listeria monocytogenes </t>
  </si>
  <si>
    <t>Сульфитредуцирующие клостридии</t>
  </si>
  <si>
    <t>Стафилококк ауреус</t>
  </si>
  <si>
    <t>Дрожжи, плесени</t>
  </si>
  <si>
    <t>Вас.cereus</t>
  </si>
  <si>
    <t>Молочнокислые микроорганизмы</t>
  </si>
  <si>
    <t>Рs. aеruginosa</t>
  </si>
  <si>
    <t>Энтерококки</t>
  </si>
  <si>
    <t>4.11.11.</t>
  </si>
  <si>
    <t>4.11.12.</t>
  </si>
  <si>
    <t>4.11.13.</t>
  </si>
  <si>
    <t>4.11.14.</t>
  </si>
  <si>
    <t>4.11.15.</t>
  </si>
  <si>
    <t>4.11.16.</t>
  </si>
  <si>
    <t>4.11.17.</t>
  </si>
  <si>
    <t>4.11.18.</t>
  </si>
  <si>
    <t>4.11.19.</t>
  </si>
  <si>
    <t>4.11.20.</t>
  </si>
  <si>
    <t>4.11.21.</t>
  </si>
  <si>
    <t>4.11.22.</t>
  </si>
  <si>
    <t>4.11.11.1.</t>
  </si>
  <si>
    <t>4.11.11.2.</t>
  </si>
  <si>
    <t>4.11.11.3.</t>
  </si>
  <si>
    <t>4.11.11.4.</t>
  </si>
  <si>
    <t>4.11.11.5.</t>
  </si>
  <si>
    <t>4.11.11.6.</t>
  </si>
  <si>
    <t>4.11.11.7.</t>
  </si>
  <si>
    <t>4.11.11.8.</t>
  </si>
  <si>
    <t>4.11.11.9.</t>
  </si>
  <si>
    <t>4.11.14.1.</t>
  </si>
  <si>
    <t>4.11.14.2.</t>
  </si>
  <si>
    <t>4.11.14.3.</t>
  </si>
  <si>
    <t>4.11.14.4.</t>
  </si>
  <si>
    <t>4.11.14.5.</t>
  </si>
  <si>
    <t>4.11.14.6.</t>
  </si>
  <si>
    <t>4.12.1.</t>
  </si>
  <si>
    <t>4.12.2.</t>
  </si>
  <si>
    <t>4.12.3.</t>
  </si>
  <si>
    <t>4.12.4.</t>
  </si>
  <si>
    <t>4.12.5.</t>
  </si>
  <si>
    <t>4.12.6.</t>
  </si>
  <si>
    <t>4.12.7.</t>
  </si>
  <si>
    <t>4.12.8.</t>
  </si>
  <si>
    <t>4.12.9.</t>
  </si>
  <si>
    <t>4.12.10.</t>
  </si>
  <si>
    <t>4.12.11.</t>
  </si>
  <si>
    <t>4.12.12.</t>
  </si>
  <si>
    <t>4.12.13.</t>
  </si>
  <si>
    <t>4.12.14.</t>
  </si>
  <si>
    <t>4.12.15.</t>
  </si>
  <si>
    <t>4.12.16.</t>
  </si>
  <si>
    <t>4.12.17.</t>
  </si>
  <si>
    <t>4.12.18.</t>
  </si>
  <si>
    <t>4.12.19.</t>
  </si>
  <si>
    <t>Определение фотометрическим методом (в посуде стальной, стеклянной, фарфоровой):</t>
  </si>
  <si>
    <t>Хром</t>
  </si>
  <si>
    <t>Агдезия</t>
  </si>
  <si>
    <t>Глицерин</t>
  </si>
  <si>
    <t>Фториды</t>
  </si>
  <si>
    <t>Моноэтиланилин</t>
  </si>
  <si>
    <t>Изоцианаты</t>
  </si>
  <si>
    <t>Гигроскопичность</t>
  </si>
  <si>
    <t>Оценка толщины экземпляра издания</t>
  </si>
  <si>
    <t>Измерение формата издания</t>
  </si>
  <si>
    <t>Определение типа переплетной крышки или обложки</t>
  </si>
  <si>
    <t>Определение наличия критических дефектов</t>
  </si>
  <si>
    <t>Прием образцов книжного издания</t>
  </si>
  <si>
    <t>Подготовка протокола экспертизы шрифта с оформлением таблицы</t>
  </si>
  <si>
    <t>Подготовка протокола качества печатного издания</t>
  </si>
  <si>
    <t>Медь (ААС)</t>
  </si>
  <si>
    <t>Свинец ИВА</t>
  </si>
  <si>
    <t>Мышьяк ААС</t>
  </si>
  <si>
    <t>Титан ААС</t>
  </si>
  <si>
    <t>Алюминий ААС</t>
  </si>
  <si>
    <t>Барий ААС</t>
  </si>
  <si>
    <t>Железо ААС</t>
  </si>
  <si>
    <t>Кадмий ИВА</t>
  </si>
  <si>
    <t>Свинец, кадмий, цинк ИВА</t>
  </si>
  <si>
    <t>.-свинец, кадмий (ИВА)</t>
  </si>
  <si>
    <t>.-сумма тяжелых металлов (ИВА)</t>
  </si>
  <si>
    <t>СТМ (ИВА)</t>
  </si>
  <si>
    <t>Мышьяк (ИВА)</t>
  </si>
  <si>
    <t>Свинец, кадмий ИВА</t>
  </si>
  <si>
    <t>Цинк, медь ИВА</t>
  </si>
  <si>
    <t>Массовая доля сернокисл. Солей</t>
  </si>
  <si>
    <t>Сальмонеллы (ПЭБ)</t>
  </si>
  <si>
    <t>Транспортные организации</t>
  </si>
  <si>
    <t>Автотранспорт</t>
  </si>
  <si>
    <t>Щелочные компоненты</t>
  </si>
  <si>
    <t>Отбеливающая способность</t>
  </si>
  <si>
    <t>Чистящая способность</t>
  </si>
  <si>
    <t>1,3</t>
  </si>
  <si>
    <t>Герпес</t>
  </si>
  <si>
    <t>1,64</t>
  </si>
  <si>
    <t>318,24</t>
  </si>
  <si>
    <t>4,145</t>
  </si>
  <si>
    <t>412,22</t>
  </si>
  <si>
    <t>3.3.10.</t>
  </si>
  <si>
    <t>На грибы Кандида</t>
  </si>
  <si>
    <t>1,105</t>
  </si>
  <si>
    <t>109,90</t>
  </si>
  <si>
    <t>3.3.12.</t>
  </si>
  <si>
    <t>Материал при аутопсии</t>
  </si>
  <si>
    <t>Сигареты.</t>
  </si>
  <si>
    <t>Алкалоиды</t>
  </si>
  <si>
    <t>Бумага туалетная.</t>
  </si>
  <si>
    <t>рН водной вытяжки</t>
  </si>
  <si>
    <t>Презервативы.</t>
  </si>
  <si>
    <t>Вода природных водоемов хозяйственно-бытового назначения на определение яиц гельминтов и цист простейших методом Новосильцева и соавторов</t>
  </si>
  <si>
    <t>Осадок  сточных  вод,  ил,  твердая  фракция  животноводческих  стоков   на определение яиц и личинок гельминтов по методу Романенко и соавторов</t>
  </si>
  <si>
    <t>Определение жизнеспособных яиц и личинок гельминтов</t>
  </si>
  <si>
    <t>3.2.1.81.</t>
  </si>
  <si>
    <t>3.2.1.82.</t>
  </si>
  <si>
    <t>3.2.1.83.</t>
  </si>
  <si>
    <t>3.2.1.84.</t>
  </si>
  <si>
    <t>3.2.1.85.</t>
  </si>
  <si>
    <t>3.2.1.86.</t>
  </si>
  <si>
    <t>3.2.1.87.</t>
  </si>
  <si>
    <t>3.2.1.88.</t>
  </si>
  <si>
    <t>3.2.1.89.</t>
  </si>
  <si>
    <t>3.2.1.90.</t>
  </si>
  <si>
    <t>3.2.1.91.</t>
  </si>
  <si>
    <t>3.2.1.92.</t>
  </si>
  <si>
    <t>3.2.1.93.</t>
  </si>
  <si>
    <t>3.2.1.94.</t>
  </si>
  <si>
    <t>3.2.1.95.</t>
  </si>
  <si>
    <t>3.2.1.96.</t>
  </si>
  <si>
    <t>3.2.1.97.</t>
  </si>
  <si>
    <t>3.2.2.1.</t>
  </si>
  <si>
    <t>3.2.2.2.</t>
  </si>
  <si>
    <t>3.2.2.3.</t>
  </si>
  <si>
    <t>3.2.2.4.</t>
  </si>
  <si>
    <t>3.2.2.5.</t>
  </si>
  <si>
    <t>3.2.2.6.</t>
  </si>
  <si>
    <t>3.2.2.7.</t>
  </si>
  <si>
    <t>3.2.2.8.</t>
  </si>
  <si>
    <t>3.2.2.9.</t>
  </si>
  <si>
    <t>3.2.2.10.</t>
  </si>
  <si>
    <t>3.2.2.11.</t>
  </si>
  <si>
    <t>3.2.2.12.</t>
  </si>
  <si>
    <t>3.2.3.1.</t>
  </si>
  <si>
    <t>3.2.3.2.</t>
  </si>
  <si>
    <t>3.2.3.3.</t>
  </si>
  <si>
    <t>3.2.3.4.</t>
  </si>
  <si>
    <t>3.2.3.5.</t>
  </si>
  <si>
    <t>3.2.3.6.</t>
  </si>
  <si>
    <t>3.2.3.7.</t>
  </si>
  <si>
    <t>3.2.3.8.</t>
  </si>
  <si>
    <t>3.2.3.9.</t>
  </si>
  <si>
    <t>3.2.3.10.</t>
  </si>
  <si>
    <t>3.2.3.11.</t>
  </si>
  <si>
    <t>3.2.3.12.</t>
  </si>
  <si>
    <t>3.2.3.13.</t>
  </si>
  <si>
    <t>3.2.3.14.</t>
  </si>
  <si>
    <t>3.2.3.15.</t>
  </si>
  <si>
    <t>3.2.3.16.</t>
  </si>
  <si>
    <t>3.2.3.17.</t>
  </si>
  <si>
    <t>3.2.3.18.</t>
  </si>
  <si>
    <t>3.2.4.1.</t>
  </si>
  <si>
    <t>3.2.4.2.</t>
  </si>
  <si>
    <t>3.2.4.3.</t>
  </si>
  <si>
    <t>3.2.4.4.</t>
  </si>
  <si>
    <t>3.2.4.5.</t>
  </si>
  <si>
    <t>3.2.4.6.</t>
  </si>
  <si>
    <t>3.2.4.7.</t>
  </si>
  <si>
    <t>3.2.4.8.</t>
  </si>
  <si>
    <t>3.2.4.9.</t>
  </si>
  <si>
    <t>3.2.4.10.</t>
  </si>
  <si>
    <t>3.2.4.11.</t>
  </si>
  <si>
    <t>3.2.4.12.</t>
  </si>
  <si>
    <t>3.2.4.13.</t>
  </si>
  <si>
    <t>3.2.4.14.</t>
  </si>
  <si>
    <t>3.2.4.15.</t>
  </si>
  <si>
    <t>3.2.4.16.</t>
  </si>
  <si>
    <t>3.2.4.17.</t>
  </si>
  <si>
    <t>3.2.4.18.</t>
  </si>
  <si>
    <t>Вода с судов (сточная, "Нептуматик").</t>
  </si>
  <si>
    <t>3.2.5.1.</t>
  </si>
  <si>
    <t>3.2.5.2.</t>
  </si>
  <si>
    <t>3.2.5.3.</t>
  </si>
  <si>
    <t>3.2.5.4.</t>
  </si>
  <si>
    <t>3.2.6.</t>
  </si>
  <si>
    <t>3.2.6.1.</t>
  </si>
  <si>
    <t>3.2.6.2.</t>
  </si>
  <si>
    <t>3.2.6.3.</t>
  </si>
  <si>
    <t>3.2.6.4.</t>
  </si>
  <si>
    <t>3.2.6.5.</t>
  </si>
  <si>
    <t>3.2.6.6.</t>
  </si>
  <si>
    <t>3.2.6.7.</t>
  </si>
  <si>
    <t>Исследование мышечной ткани на личинки трихинелл при биопсии</t>
  </si>
  <si>
    <t>Компрессорная трихинеллоскопия 24 срезов</t>
  </si>
  <si>
    <t>-   бора</t>
  </si>
  <si>
    <t>169,06</t>
  </si>
  <si>
    <t>-   мышьяка</t>
  </si>
  <si>
    <t>-   марганца</t>
  </si>
  <si>
    <t>-   кобальта</t>
  </si>
  <si>
    <t>-   фтора</t>
  </si>
  <si>
    <t>-   ртути</t>
  </si>
  <si>
    <t>Химическая стойкость внутреннего покрытия</t>
  </si>
  <si>
    <t>Яркость</t>
  </si>
  <si>
    <t>Коэффициент пульсации</t>
  </si>
  <si>
    <t>Соли тяжелых металлов (свинец, кадмий, медь,цинк) ИВА</t>
  </si>
  <si>
    <t>ГМИ на пищевые продукты</t>
  </si>
  <si>
    <t>Биопробы   местно-раздражающее   действие   (аппликации   на морских свинках)</t>
  </si>
  <si>
    <t>Биопробы раздражающее действие на слизистые глаз кролика</t>
  </si>
  <si>
    <t>Биопробы, клеточные тест-пробы (индекс токсичности, биолю-менесцентным методом)</t>
  </si>
  <si>
    <t>Резиновые и латексные изделия медицинского назначения (соски, баллончики).</t>
  </si>
  <si>
    <t>Окисляемость перманганатная</t>
  </si>
  <si>
    <t>Амины</t>
  </si>
  <si>
    <t>Производные дитиокарбаминовой кислоты</t>
  </si>
  <si>
    <t>сероводород</t>
  </si>
  <si>
    <t>Товары бытовой химии, синтетические моющие средства.</t>
  </si>
  <si>
    <t>Активный хлор</t>
  </si>
  <si>
    <t>Перекись водорода</t>
  </si>
  <si>
    <t>Аммиак</t>
  </si>
  <si>
    <t>Соматические клетки</t>
  </si>
  <si>
    <t>Отбор проб</t>
  </si>
  <si>
    <t>Отбор проб пищевых продуктов с проведением дозиметрических измерений - 1 проба</t>
  </si>
  <si>
    <t>Отбор проб строительных материалов, растительности, почвы с дозиметрическим контролем радиационного фона местности - 1 проба</t>
  </si>
  <si>
    <t>Отбор проб воды - 1 проба</t>
  </si>
  <si>
    <t>Отбор проб мазков - 1 проба</t>
  </si>
  <si>
    <t>Инструментальные измерения</t>
  </si>
  <si>
    <t>Дозиметрический   контроль  объектов   внешней  среды  -   1 измерение</t>
  </si>
  <si>
    <t>Ацетон кфк (фотоколориметр)</t>
  </si>
  <si>
    <t>Определение термоустойчивости шигелл и сальмонелл</t>
  </si>
  <si>
    <t>1,47</t>
  </si>
  <si>
    <t>146,19</t>
  </si>
  <si>
    <t>Краткий хим.анализ воды.</t>
  </si>
  <si>
    <t>Запах при 20 С (опис.)</t>
  </si>
  <si>
    <t>Запах при 60 С (опис.)</t>
  </si>
  <si>
    <t>Привкус (опис.)</t>
  </si>
  <si>
    <t>Цветность (фотом.)</t>
  </si>
  <si>
    <t>Мутность (фотом.)</t>
  </si>
  <si>
    <t>Цвет (опис.)</t>
  </si>
  <si>
    <t>Осадок (опис.)</t>
  </si>
  <si>
    <t>РН (потенц.)</t>
  </si>
  <si>
    <t>Нитриты (фотом.</t>
  </si>
  <si>
    <t>Остаточный хлор</t>
  </si>
  <si>
    <t>Качественное определение азотистой и азотной кислоты</t>
  </si>
  <si>
    <t>Дихлорфеноксиуксусная кислота (2,4-Д)</t>
  </si>
  <si>
    <t>Расчет, оформление протокола</t>
  </si>
  <si>
    <t>Выезд на объект и организация работы за 1 раб.час</t>
  </si>
  <si>
    <t>Измерение постоянного уровня шума на 1 рабочем месте</t>
  </si>
  <si>
    <t>Esherichia coli</t>
  </si>
  <si>
    <t>Бактерии рода Рroteus</t>
  </si>
  <si>
    <t>Иерсинии</t>
  </si>
  <si>
    <t>Бифидобактерии, лактобактерии</t>
  </si>
  <si>
    <t>Vibrio parahaemolyticus (вибрио парагемолитикус)</t>
  </si>
  <si>
    <t>Определение плесеней по Говарду</t>
  </si>
  <si>
    <t>Кампилобактер</t>
  </si>
  <si>
    <t>15</t>
  </si>
  <si>
    <t>На спорообразующие мезофильные аэробные и факультативно-анаэробные микроорганизмы группы B.subtilis</t>
  </si>
  <si>
    <t>На спорообразующие мезофильные аэробные и факультативно-анаэробные микроорганизмы группы B.sereus и(или) B.polymyxa</t>
  </si>
  <si>
    <t>Идентификация паразитов и их фрагментов</t>
  </si>
  <si>
    <t>Метод толстого мазка по Като</t>
  </si>
  <si>
    <t>Методы флотации (Калантарян, Фюллеборна)</t>
  </si>
  <si>
    <t>Методы седиментации (формалин - эфирный и уксусно - эфирный метод)</t>
  </si>
  <si>
    <t>Исследование перианального соскоба</t>
  </si>
  <si>
    <t>Метод нативного мазка с физраствором и раствором Люголя (2 капли на одном стекле)</t>
  </si>
  <si>
    <t>Измерение уровня лазерного излучения</t>
  </si>
  <si>
    <t>Измерение общей вибрации (по 3 осям) на 1 рабочем месте</t>
  </si>
  <si>
    <t>Аспартам</t>
  </si>
  <si>
    <t>Содержание мякоти</t>
  </si>
  <si>
    <t>Пектин</t>
  </si>
  <si>
    <t>Осадок</t>
  </si>
  <si>
    <t>Вино - водочные изделия.</t>
  </si>
  <si>
    <t>Сахар (фотометрический)</t>
  </si>
  <si>
    <t>Сернистая кислота</t>
  </si>
  <si>
    <t>Летучие кислоты</t>
  </si>
  <si>
    <t>Общая кислотность</t>
  </si>
  <si>
    <t>Железо (арбитражный метод)</t>
  </si>
  <si>
    <t>Вода для обеспечения судов.</t>
  </si>
  <si>
    <t>Цвет (описательно.)</t>
  </si>
  <si>
    <t>Осадок (описательно.)</t>
  </si>
  <si>
    <t>РН (потенциометрический.)</t>
  </si>
  <si>
    <t>Алюминий ( фотом.)</t>
  </si>
  <si>
    <t>Железо ( фотом.)</t>
  </si>
  <si>
    <t>Промышленные предприятия: с количеством работников от 100 до 500 чел.</t>
  </si>
  <si>
    <t>Гормональные препараты</t>
  </si>
  <si>
    <t>Микотоксины (афлатоксин В1, В2, М1, М2, дезоксиниваленол, зеараленон) методом ТСХ</t>
  </si>
  <si>
    <t>Микотоксины (афлатоксин В1, В2, М1, М2, дезоксиниваленол, зеараленон) методом ВЭЖХ</t>
  </si>
  <si>
    <t>Цинк ИВА</t>
  </si>
  <si>
    <t>Медь ИВА</t>
  </si>
  <si>
    <t>Металлопримеси</t>
  </si>
  <si>
    <t>Витамин В1(флюориметрический)</t>
  </si>
  <si>
    <t>Витамин В2(флюориметрический)</t>
  </si>
  <si>
    <t>Витамин РР</t>
  </si>
  <si>
    <t>Витамин А (фотометрический)</t>
  </si>
  <si>
    <t>B - каротин</t>
  </si>
  <si>
    <t>Каротиноиды (фотометрический)</t>
  </si>
  <si>
    <t>Сухие обезжиренные вещества в масле коровьем</t>
  </si>
  <si>
    <t>Фтор в молоке</t>
  </si>
  <si>
    <t xml:space="preserve"> Молоко и молочные продукты.</t>
  </si>
  <si>
    <t>Массовая доля мелочи (осколков, пудры)</t>
  </si>
  <si>
    <t>Радиационно-гигиеническая экспертиза объекта для выдачи санитарно-эпидемиологического заключения</t>
  </si>
  <si>
    <t>Объекты   1-й   категории  сложности:   РИПы  2-4  группы, электронные   микроскопы,   приборы   рентгеноструктурного и рентгеноспектрального анализа, рентгеновские аппараты технологического контроля, транспортные упаковки 1,2,3 категории</t>
  </si>
  <si>
    <t>Объекты 2-й категории сложности: рентгеновская дефектоскопия, радионуклиды в закрытом виде</t>
  </si>
  <si>
    <t>Объекты 3-й категории сложности: открытые РВ 2-3 класса, лучевая терапия, радиоизотопная  дефектоскопия, применение ИИИ в геологии</t>
  </si>
  <si>
    <t>6.12.7.</t>
  </si>
  <si>
    <t>Лечебная грязь:</t>
  </si>
  <si>
    <t xml:space="preserve">6.13. </t>
  </si>
  <si>
    <t>6.13.1.</t>
  </si>
  <si>
    <t>6.13.2.</t>
  </si>
  <si>
    <t>6.13.3.</t>
  </si>
  <si>
    <t>6.13.4.</t>
  </si>
  <si>
    <t>6.13.5.</t>
  </si>
  <si>
    <t>6.13.6.</t>
  </si>
  <si>
    <t>Контроль работы автоклавов и дезкамер:</t>
  </si>
  <si>
    <t xml:space="preserve">6.14. </t>
  </si>
  <si>
    <t>6.14.1.</t>
  </si>
  <si>
    <t>6.14.2.</t>
  </si>
  <si>
    <t>6.14.3.</t>
  </si>
  <si>
    <t>Определение устойчивости микроорганизмов к дезинфектантам:</t>
  </si>
  <si>
    <t xml:space="preserve"> 6.15. </t>
  </si>
  <si>
    <t>6.15.1.</t>
  </si>
  <si>
    <t>Парфюмерно-косметические изделия и средства гигиены полости рта:</t>
  </si>
  <si>
    <t xml:space="preserve">6.16. </t>
  </si>
  <si>
    <t>6.16.1.</t>
  </si>
  <si>
    <t>6.16.2.</t>
  </si>
  <si>
    <t>6.16.3.</t>
  </si>
  <si>
    <t>6.16.4.</t>
  </si>
  <si>
    <t>6.16.5.</t>
  </si>
  <si>
    <t>Сумма с НДС 18%</t>
  </si>
  <si>
    <t>7. Исследование по бактериологической и клинической бактериологиии</t>
  </si>
  <si>
    <t>7.4.</t>
  </si>
  <si>
    <t>7.5.</t>
  </si>
  <si>
    <t>7.6.</t>
  </si>
  <si>
    <t>7.7.</t>
  </si>
  <si>
    <t>7.8.</t>
  </si>
  <si>
    <t>7.9.</t>
  </si>
  <si>
    <t>7.10.</t>
  </si>
  <si>
    <t>7.11.</t>
  </si>
  <si>
    <t>7.13.</t>
  </si>
  <si>
    <t>7.14.</t>
  </si>
  <si>
    <t>7.15.</t>
  </si>
  <si>
    <t>7.16.</t>
  </si>
  <si>
    <t>7.19.</t>
  </si>
  <si>
    <t>8. Вирусологические исследования</t>
  </si>
  <si>
    <t>8.8.</t>
  </si>
  <si>
    <t>8.9.</t>
  </si>
  <si>
    <t>8.10.</t>
  </si>
  <si>
    <t>8.11.</t>
  </si>
  <si>
    <t>8.12.</t>
  </si>
  <si>
    <t>8.13.</t>
  </si>
  <si>
    <t>8.14.</t>
  </si>
  <si>
    <t>9. МИКРОБИОЛОГИЧЕСКИЕ ИССЛЕДОВАНИЯ НА ПРИРОДНО - ОЧАГОВЫЕ И ОСОБО -ОПАСНЫЕ ИНФЕКЦИИ</t>
  </si>
  <si>
    <t>9.1.3.</t>
  </si>
  <si>
    <t>9.1.4.</t>
  </si>
  <si>
    <t>ОМЧ (ПЭБ)</t>
  </si>
  <si>
    <t>Staphylococcus aureus (ПЭБ)</t>
  </si>
  <si>
    <t>Синегнойная палочка (ПЭБ)</t>
  </si>
  <si>
    <t>Толуол</t>
  </si>
  <si>
    <t>С эпоксидной смолой</t>
  </si>
  <si>
    <t>Эпихлоргидрин</t>
  </si>
  <si>
    <t>Реакция гель-преципитации на сибирскую язву</t>
  </si>
  <si>
    <t>11.1.2.11.</t>
  </si>
  <si>
    <t>3. Санитарно-гигиенические исследования</t>
  </si>
  <si>
    <t>3.1. ПРОДОВОЛЬСТВЕННОЕ СЫРЬЕ И ПРОДУКТЫ ПИТАНИЯ</t>
  </si>
  <si>
    <t>Общие показатели на санитарно-гигиенические исследования продовольственного сырья и продуктов питания</t>
  </si>
  <si>
    <t>Индекс токсичности в водной вытяжке (люминесцентным методом)</t>
  </si>
  <si>
    <t>Определение массовой доли атомно-абсорбционной спектрометрии: цинк, медь, свинец, кадмий, никель, железо, алюминий, хром, барий, титан, литий, марганец, ртуть.</t>
  </si>
  <si>
    <t>Ртуть ААС</t>
  </si>
  <si>
    <t>Мышьяк ИВА</t>
  </si>
  <si>
    <t>Бензапирен</t>
  </si>
  <si>
    <t>Определение вышеперечисленных веществ в модельных средах с отгонкой паром</t>
  </si>
  <si>
    <t>Определение инверсионно - вольтамперометрическим методом кадмия, меди, свинца, кадмия, никеля, железа</t>
  </si>
  <si>
    <t>338,13</t>
  </si>
  <si>
    <t>Молибден</t>
  </si>
  <si>
    <t>Ванадий</t>
  </si>
  <si>
    <t>Фтористый водород</t>
  </si>
  <si>
    <t>2,95</t>
  </si>
  <si>
    <t>293,38</t>
  </si>
  <si>
    <t xml:space="preserve"> - фотометрия</t>
  </si>
  <si>
    <t>Масла минеральные</t>
  </si>
  <si>
    <t>Медь</t>
  </si>
  <si>
    <t xml:space="preserve"> 1 мг/мЗ </t>
  </si>
  <si>
    <t xml:space="preserve">2 мг/мЗ </t>
  </si>
  <si>
    <t>Ртуть</t>
  </si>
  <si>
    <t>Ртуть на приборе АГП-01</t>
  </si>
  <si>
    <t>Цинк</t>
  </si>
  <si>
    <t>Цианистый водород</t>
  </si>
  <si>
    <t>Хлор</t>
  </si>
  <si>
    <t>3,07</t>
  </si>
  <si>
    <t>305,31</t>
  </si>
  <si>
    <t>-подготовка к отбору проб</t>
  </si>
  <si>
    <t>0,85</t>
  </si>
  <si>
    <t>84,53</t>
  </si>
  <si>
    <t>-отбор проб</t>
  </si>
  <si>
    <t>79,65</t>
  </si>
  <si>
    <t>-фотометрия</t>
  </si>
  <si>
    <t>1,42</t>
  </si>
  <si>
    <t>141,22</t>
  </si>
  <si>
    <t>Щелочи едкие</t>
  </si>
  <si>
    <t>188,96</t>
  </si>
  <si>
    <t>3,25</t>
  </si>
  <si>
    <t>Азота диоксид</t>
  </si>
  <si>
    <t>Водород хлористый</t>
  </si>
  <si>
    <t>Кислота серная</t>
  </si>
  <si>
    <t>Пыль</t>
  </si>
  <si>
    <t>Свинец</t>
  </si>
  <si>
    <t>Сероводород</t>
  </si>
  <si>
    <t>Серы диоксид</t>
  </si>
  <si>
    <t>ВОЗДУХ РАБОЧЕЙ ЗОНЫ</t>
  </si>
  <si>
    <t xml:space="preserve">подготовка к отбору проб </t>
  </si>
  <si>
    <t xml:space="preserve">отбор проб </t>
  </si>
  <si>
    <t>фотометрия</t>
  </si>
  <si>
    <t>Алюминий</t>
  </si>
  <si>
    <t>отбор проб</t>
  </si>
  <si>
    <t xml:space="preserve"> фотометрия</t>
  </si>
  <si>
    <t>подготовка к отбору проб</t>
  </si>
  <si>
    <t xml:space="preserve"> отбор проб</t>
  </si>
  <si>
    <t xml:space="preserve"> -   фотометрия</t>
  </si>
  <si>
    <t>Ангидрид хромовый</t>
  </si>
  <si>
    <t>- фотометрия</t>
  </si>
  <si>
    <t>Акролеин</t>
  </si>
  <si>
    <t>Токсичные элементы (кадмий, свинец) ААС</t>
  </si>
  <si>
    <t>Токсичные элементы (кадмий, свинец) ИВА</t>
  </si>
  <si>
    <t>Автоклавная минерализация</t>
  </si>
  <si>
    <t>Антибиотики</t>
  </si>
  <si>
    <t>Ртуть на газоанализаторе «Юлия»</t>
  </si>
  <si>
    <t>На менингококк</t>
  </si>
  <si>
    <t>3,2</t>
  </si>
  <si>
    <t>8.1.</t>
  </si>
  <si>
    <t>8.2.</t>
  </si>
  <si>
    <t>8.3.</t>
  </si>
  <si>
    <t>4.11.</t>
  </si>
  <si>
    <t>4.12.</t>
  </si>
  <si>
    <t>0,825</t>
  </si>
  <si>
    <t>4.13.</t>
  </si>
  <si>
    <t>4.14.</t>
  </si>
  <si>
    <t>6.3.7.</t>
  </si>
  <si>
    <t>6.3.8.</t>
  </si>
  <si>
    <t>Наименование работ и услуг</t>
  </si>
  <si>
    <t>Трудоем (час)</t>
  </si>
  <si>
    <t>Сумма (без НДС), руб.</t>
  </si>
  <si>
    <t>Сумма (с НДС), руб.</t>
  </si>
  <si>
    <t>на работы и услуги, оказываемые</t>
  </si>
  <si>
    <t xml:space="preserve">Консультация </t>
  </si>
  <si>
    <t>каждое последующее исследование</t>
  </si>
  <si>
    <t>Парикмахерские с маникюрным  кабинетом;</t>
  </si>
  <si>
    <t>Парикмахерские с педикюрным кабинетом;</t>
  </si>
  <si>
    <t>Аптечный пункт без права  изготовления  лекарственных препаратов</t>
  </si>
  <si>
    <t>Аптечный пункт  с правом  изготовления  лекарственных препаратов</t>
  </si>
  <si>
    <t>Аптека без права  изготовления  лекарственных препаратов</t>
  </si>
  <si>
    <t>Аптека  с  правом   изготовления  лекарственных препаратов</t>
  </si>
  <si>
    <t>Остаточный хлор связанный</t>
  </si>
  <si>
    <t>Остаточный хлор свободный</t>
  </si>
  <si>
    <t>Углекислый газ</t>
  </si>
  <si>
    <t>Озон</t>
  </si>
  <si>
    <t>Хлороформ</t>
  </si>
  <si>
    <t>Галогенсодержащие      вещества      (хлороформ,      дихлор-бромметан,дибромхлорметан,бромоформ,четыреххлористый углерод)</t>
  </si>
  <si>
    <t>Формальдегид</t>
  </si>
  <si>
    <t>Коагулирование</t>
  </si>
  <si>
    <t>- формальдегида</t>
  </si>
  <si>
    <t>- диоктилфталата</t>
  </si>
  <si>
    <t>- дибутилфталат</t>
  </si>
  <si>
    <t>Полимерные и другие материалы и материалы из них, предназначенные для контакта с пищевыми продуктами.</t>
  </si>
  <si>
    <t>из цветных и черных металлов</t>
  </si>
  <si>
    <t>стирола</t>
  </si>
  <si>
    <t>фенола</t>
  </si>
  <si>
    <t>формальдегида</t>
  </si>
  <si>
    <t>диоктилфталата</t>
  </si>
  <si>
    <t>диэтилфталат</t>
  </si>
  <si>
    <t>терефталат</t>
  </si>
  <si>
    <t>метанол</t>
  </si>
  <si>
    <t>Измерение ЭМП (1 компьютер)</t>
  </si>
  <si>
    <t>Фенол (флурометрический)</t>
  </si>
  <si>
    <t>Подготовка шифрованных задач для внешнего и внутреннего контроля</t>
  </si>
  <si>
    <t>Подготовка шифрованных задач почвы, воды с возбудителями паразитарных болезней</t>
  </si>
  <si>
    <t>Подготовка   шифрованных   задач    пищевых   продуктов   с   возбудителями биогельминтов</t>
  </si>
  <si>
    <t>Подготовка и проверка одной серологической пробы для шифрованных задач</t>
  </si>
  <si>
    <t>Подготовка шифрованных задач препаратов крови на кровепаразитов</t>
  </si>
  <si>
    <t>Оформление и выдача гигиенического заключения</t>
  </si>
  <si>
    <r>
      <t>Микрофлора (мокрота</t>
    </r>
    <r>
      <rPr>
        <sz val="10"/>
        <color indexed="8"/>
        <rFont val="Times New Roman"/>
        <family val="1"/>
      </rPr>
      <t>)</t>
    </r>
  </si>
  <si>
    <t>от "___"________2007 г. №____</t>
  </si>
  <si>
    <t>4.1.</t>
  </si>
  <si>
    <t>Определение алкоголя</t>
  </si>
  <si>
    <t>Сахар по Бертрану</t>
  </si>
  <si>
    <t>Сахар колориметрическим методом</t>
  </si>
  <si>
    <t>Сахар поляриметрическим методом</t>
  </si>
  <si>
    <t>Индекс растворимости</t>
  </si>
  <si>
    <t>Торговый комплекс</t>
  </si>
  <si>
    <t>Предприятия общественного питания</t>
  </si>
  <si>
    <t>Предприятия пищевой промышленности</t>
  </si>
  <si>
    <t>Хлебопекарни мощностью до 3 т в сутки</t>
  </si>
  <si>
    <t>Прозрачность</t>
  </si>
  <si>
    <t>Плавающие примеси</t>
  </si>
  <si>
    <t>АПАВ (флуорим.)</t>
  </si>
  <si>
    <t>Определение концентрации радона и дочерних продуктов его распада в воздухе помещений - 1 измерение</t>
  </si>
  <si>
    <t>Санитарно-дозиметрическое обследование спецтранспорта - 1 измерение</t>
  </si>
  <si>
    <t>Контроль проведения дезактивационных мероприятий</t>
  </si>
  <si>
    <t>Лабораторные исследования</t>
  </si>
  <si>
    <t>Подготовка проб к гамма-спектрометрии - 1 проба</t>
  </si>
  <si>
    <t>Железо</t>
  </si>
  <si>
    <t>Селен (флуорим.)</t>
  </si>
  <si>
    <t>6.4.6.</t>
  </si>
  <si>
    <t>6.4.7.</t>
  </si>
  <si>
    <t>Оформление 1 протокола</t>
  </si>
  <si>
    <t>Сухой остаток</t>
  </si>
  <si>
    <t>БПК-5</t>
  </si>
  <si>
    <t>1,33</t>
  </si>
  <si>
    <t>132,27</t>
  </si>
  <si>
    <t>ХПК</t>
  </si>
  <si>
    <t>Окисляемость (титрим.)</t>
  </si>
  <si>
    <t>6.4.12.</t>
  </si>
  <si>
    <t>6.4.13.</t>
  </si>
  <si>
    <t>Намокаемость</t>
  </si>
  <si>
    <t>Ксилит и сорбит</t>
  </si>
  <si>
    <t>Жировые продукты.</t>
  </si>
  <si>
    <t>Экспертиза образцов печатной продукции: тетрадей, альбомов, открыток, календарей</t>
  </si>
  <si>
    <t>Всего:</t>
  </si>
  <si>
    <t>Прием образцов издания</t>
  </si>
  <si>
    <t>Измерение формата, определение вида красок, измерение имеющегося шрифта, определение устойчивости красок к воде</t>
  </si>
  <si>
    <t>Подготовка протокола, экспертизы</t>
  </si>
  <si>
    <t>Нерастворимые и растворимые пищевые волокна (ферментативный метод)</t>
  </si>
  <si>
    <t>Подлинность БАД (антоцианиновые пигменты) ВЭЖХ</t>
  </si>
  <si>
    <t>Органические кислоты ВЭЖХ</t>
  </si>
  <si>
    <t>Полифенольные соединения</t>
  </si>
  <si>
    <t>Флаваноиды</t>
  </si>
  <si>
    <t>Подготовка образца</t>
  </si>
  <si>
    <t>Регистрация и обработка материалов</t>
  </si>
  <si>
    <t>Диметилфталат</t>
  </si>
  <si>
    <t>Анилин</t>
  </si>
  <si>
    <t>Окись углерода</t>
  </si>
  <si>
    <t>Ксилол</t>
  </si>
  <si>
    <t>Ацетальдегид</t>
  </si>
  <si>
    <t>Этилен</t>
  </si>
  <si>
    <t>Уксусная кислота</t>
  </si>
  <si>
    <t>Циклогексанон</t>
  </si>
  <si>
    <t xml:space="preserve"> -мышьяк (ИВА)</t>
  </si>
  <si>
    <t>.-ртуть (ААС)</t>
  </si>
  <si>
    <t>Изоцианат</t>
  </si>
  <si>
    <t>Подготовка проб изделий:</t>
  </si>
  <si>
    <t>Регистрация, оформление протокола</t>
  </si>
  <si>
    <t>Окисляемость бихроматная</t>
  </si>
  <si>
    <t>Бромирующие вещества</t>
  </si>
  <si>
    <t>3.2.6.8.</t>
  </si>
  <si>
    <t>3.2.6.9.</t>
  </si>
  <si>
    <t>3.2.6.10.</t>
  </si>
  <si>
    <t>3.2.6.11.</t>
  </si>
  <si>
    <t>3.2.6.13.</t>
  </si>
  <si>
    <t>3.2.6.14.</t>
  </si>
  <si>
    <t>3.2.6.15.</t>
  </si>
  <si>
    <t>3.2.6.16.</t>
  </si>
  <si>
    <t>3.2.6.17.</t>
  </si>
  <si>
    <t>3.2.6.18.</t>
  </si>
  <si>
    <t>3.2.6.19.</t>
  </si>
  <si>
    <t>3.2.6.20.</t>
  </si>
  <si>
    <t>3.2.6.21.</t>
  </si>
  <si>
    <t>3.2.6.22.</t>
  </si>
  <si>
    <t>3.2.6.23.</t>
  </si>
  <si>
    <t>3.2.6.24.</t>
  </si>
  <si>
    <t>3.2.6.26.</t>
  </si>
  <si>
    <t>3.2.6.25.</t>
  </si>
  <si>
    <t>3.2.6.27.</t>
  </si>
  <si>
    <t>3.2.6.28.</t>
  </si>
  <si>
    <t>3.2.7.</t>
  </si>
  <si>
    <t>3.2.8.</t>
  </si>
  <si>
    <t>3.2.9.</t>
  </si>
  <si>
    <t>3.2.9.1.</t>
  </si>
  <si>
    <t>3.2.9.2.</t>
  </si>
  <si>
    <t>3.2.9.3.</t>
  </si>
  <si>
    <t>3.2.9.4.</t>
  </si>
  <si>
    <t>3.2.9.5.</t>
  </si>
  <si>
    <t>3.2.9.6.</t>
  </si>
  <si>
    <t>3.2.9.7.</t>
  </si>
  <si>
    <t>3.2.9.8.</t>
  </si>
  <si>
    <t>3.2.9.9.</t>
  </si>
  <si>
    <t>3.2.9.10.</t>
  </si>
  <si>
    <t>3.2.9.11.</t>
  </si>
  <si>
    <t>3.2.9.12.</t>
  </si>
  <si>
    <t>3.2.9.13.</t>
  </si>
  <si>
    <t>3.2.9.14.</t>
  </si>
  <si>
    <t>3.2.10.</t>
  </si>
  <si>
    <t>3.2.10.1.</t>
  </si>
  <si>
    <t>3.2.10.2.</t>
  </si>
  <si>
    <t>3.2.10.3.</t>
  </si>
  <si>
    <t>3.2.10.4.</t>
  </si>
  <si>
    <t>3.2.10.5.</t>
  </si>
  <si>
    <t>3.2.10.6.</t>
  </si>
  <si>
    <t>3.2.10.7.</t>
  </si>
  <si>
    <t>3.3.16.</t>
  </si>
  <si>
    <t>3.3.18.</t>
  </si>
  <si>
    <t>3.3.19.</t>
  </si>
  <si>
    <t>3.3.20.</t>
  </si>
  <si>
    <t>3.3.21.</t>
  </si>
  <si>
    <t>3.3.22.</t>
  </si>
  <si>
    <t>3.3.23.</t>
  </si>
  <si>
    <t>3.3.24.</t>
  </si>
  <si>
    <t>3.3.25.</t>
  </si>
  <si>
    <t>3.3.26.</t>
  </si>
  <si>
    <t>3.3.27.</t>
  </si>
  <si>
    <t>3.3.28.</t>
  </si>
  <si>
    <t>3.3.29.</t>
  </si>
  <si>
    <t>3.3.30.</t>
  </si>
  <si>
    <t>4.Токсикологические исследования.</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</si>
  <si>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</si>
  <si>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</si>
  <si>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</si>
  <si>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</si>
  <si>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</si>
  <si>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</si>
  <si>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</si>
  <si>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</si>
  <si>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</si>
  <si>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</si>
  <si>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</si>
  <si>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</si>
  <si>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</si>
  <si>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</si>
  <si>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</si>
  <si>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</si>
  <si>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</si>
  <si>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</si>
  <si>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</si>
  <si>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</si>
  <si>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</si>
  <si>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</si>
  <si>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</si>
  <si>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</si>
  <si>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</si>
  <si>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4.5.1.</t>
  </si>
  <si>
    <t>4.5.2.</t>
  </si>
  <si>
    <t>4.5.3.</t>
  </si>
  <si>
    <t>4.5.4.</t>
  </si>
  <si>
    <t>4.5.5.</t>
  </si>
  <si>
    <t>4.5.6.</t>
  </si>
  <si>
    <t>4.5.7.</t>
  </si>
  <si>
    <t>4.5.8.</t>
  </si>
  <si>
    <t>4.6.1.</t>
  </si>
  <si>
    <t>4.6.2.</t>
  </si>
  <si>
    <t>4.6.3.</t>
  </si>
  <si>
    <t>4.6.4.</t>
  </si>
  <si>
    <t>4.6.5.</t>
  </si>
  <si>
    <t>4.6.6.</t>
  </si>
  <si>
    <t>4.6.7.</t>
  </si>
  <si>
    <t>4.6.8.</t>
  </si>
  <si>
    <t>4.6.9.</t>
  </si>
  <si>
    <t>4.6.10.</t>
  </si>
  <si>
    <t>4.6.11.</t>
  </si>
  <si>
    <t>4.6.12.</t>
  </si>
  <si>
    <t>4.6.13.</t>
  </si>
  <si>
    <t>4.6.14.</t>
  </si>
  <si>
    <t>4.7.2.</t>
  </si>
  <si>
    <t>4.7.1.</t>
  </si>
  <si>
    <t>4.7.3.</t>
  </si>
  <si>
    <t>4.7.4.</t>
  </si>
  <si>
    <t>4.7.5.</t>
  </si>
  <si>
    <t>4.7.6.</t>
  </si>
  <si>
    <t>4.7.7.</t>
  </si>
  <si>
    <t>4.7.8.</t>
  </si>
  <si>
    <t>4.8.1.</t>
  </si>
  <si>
    <t>4.8.2.</t>
  </si>
  <si>
    <t>4.8.3.</t>
  </si>
  <si>
    <t>4.8.4.</t>
  </si>
  <si>
    <t>4.8.5.</t>
  </si>
  <si>
    <t>4.8.6.</t>
  </si>
  <si>
    <t>4.9.1.</t>
  </si>
  <si>
    <t>4.9.2.</t>
  </si>
  <si>
    <t>4.9.3.</t>
  </si>
  <si>
    <t>4.9.4.</t>
  </si>
  <si>
    <t>4.9.5.</t>
  </si>
  <si>
    <t>4.10.1.</t>
  </si>
  <si>
    <t>4.10.2.</t>
  </si>
  <si>
    <t>4.10.3.</t>
  </si>
  <si>
    <t>4.10.4.</t>
  </si>
  <si>
    <t>4.10.5.</t>
  </si>
  <si>
    <t>4.10.6.</t>
  </si>
  <si>
    <t>4.11.1.</t>
  </si>
  <si>
    <t>4.11.2.</t>
  </si>
  <si>
    <t>4.11.3.</t>
  </si>
  <si>
    <t>4.11.3.1.</t>
  </si>
  <si>
    <t>4.11.3.2.</t>
  </si>
  <si>
    <t>4.11.4.</t>
  </si>
  <si>
    <t>4.11.5.</t>
  </si>
  <si>
    <t>4.11.6.</t>
  </si>
  <si>
    <t>4.11.7.</t>
  </si>
  <si>
    <t>4.11.8.</t>
  </si>
  <si>
    <t>4.11.9.</t>
  </si>
  <si>
    <t>4.11.10.</t>
  </si>
  <si>
    <t>Измерение авиационного шума</t>
  </si>
  <si>
    <t>Автотранспортный шум (измерение шумовых характеристик на улицах)</t>
  </si>
  <si>
    <t>546.97</t>
  </si>
  <si>
    <t>Паркет, стеновые панели, ДВП, ДСП</t>
  </si>
  <si>
    <t>Фенол</t>
  </si>
  <si>
    <t>Метанол</t>
  </si>
  <si>
    <t>Рн - среды</t>
  </si>
  <si>
    <t>Пенопласт</t>
  </si>
  <si>
    <t>Капролактам</t>
  </si>
  <si>
    <t>Толуилендиизоцианат</t>
  </si>
  <si>
    <t>Бумага, картон, пергамент, подпергамент</t>
  </si>
  <si>
    <t>Подготовка образца к исследованию</t>
  </si>
  <si>
    <t>Этилацетат</t>
  </si>
  <si>
    <t>Ксилол (смесь изомеров)</t>
  </si>
  <si>
    <t>Е-капролактам</t>
  </si>
  <si>
    <t>Перекисное число жира в мясе птицы</t>
  </si>
  <si>
    <t>Термообработка</t>
  </si>
  <si>
    <t>Крахмал</t>
  </si>
  <si>
    <t>Сероводород (качеств.)</t>
  </si>
  <si>
    <t>Активная кислая фосфатаза</t>
  </si>
  <si>
    <t>Олово</t>
  </si>
  <si>
    <t>Гистамин</t>
  </si>
  <si>
    <t>Жир по Сокслету</t>
  </si>
  <si>
    <t>Хлебобулочные, мукомольные, крупяные изделия.</t>
  </si>
  <si>
    <t>Зольность</t>
  </si>
  <si>
    <t>Пористость</t>
  </si>
  <si>
    <t>- объем 100 мл.</t>
  </si>
  <si>
    <t>1,0</t>
  </si>
  <si>
    <t>99,45</t>
  </si>
  <si>
    <t>- объем 50 мл.</t>
  </si>
  <si>
    <t>0,5</t>
  </si>
  <si>
    <t>49,73</t>
  </si>
  <si>
    <t>Фурфурол</t>
  </si>
  <si>
    <t>1,5</t>
  </si>
  <si>
    <t>Фурфурол (качественная реакция)</t>
  </si>
  <si>
    <t>Окисляемость</t>
  </si>
  <si>
    <t>Полистирольные</t>
  </si>
  <si>
    <t>Стирол</t>
  </si>
  <si>
    <t>Для всех пенопластов</t>
  </si>
  <si>
    <t>Для всех линолеумов</t>
  </si>
  <si>
    <t>Пеноизол</t>
  </si>
  <si>
    <t>Иммуноферментный анализ (ИФА) на тканевые гельминтозы</t>
  </si>
  <si>
    <t>Копроовоскопический анализ на кишечные гельминтозы и протозоозы</t>
  </si>
  <si>
    <t>Радиационно-гигиенический контроль денежных банкнот и помещений банков.</t>
  </si>
  <si>
    <t>8.4.</t>
  </si>
  <si>
    <t>8.5.</t>
  </si>
  <si>
    <t>8.6.</t>
  </si>
  <si>
    <t>Мясо и мясопродукты на личинки биогельминтов</t>
  </si>
  <si>
    <t>Овощи,    фрукты,    ягода,    бахчевые,    зелень    и    другие    растительные сельскохозяйственные продукты на яйца гельминтов по методу Романенко</t>
  </si>
  <si>
    <t>Определение жизнеспособных личинок</t>
  </si>
  <si>
    <t>Вода питьевая, плавательных бассейнов на определение яиц гельминтов и цист простейших методом Новосильцева и соавторов</t>
  </si>
  <si>
    <t>Исследование воздушной среды производственных помещений при помощи прибора "Анализатор - течеискатель" АНТ-3</t>
  </si>
  <si>
    <t>бензин</t>
  </si>
  <si>
    <t>углеводороды</t>
  </si>
  <si>
    <t>Измерения напряженности электростатического поля на 1 рабочем месте ЭСП</t>
  </si>
  <si>
    <t>Поваренная соль</t>
  </si>
  <si>
    <t>Нитриты</t>
  </si>
  <si>
    <t>Фосфор</t>
  </si>
  <si>
    <t>Кислотное число жира в мясе птицы</t>
  </si>
  <si>
    <t>Измерение локальной вибрации на 1 рабочем месте</t>
  </si>
  <si>
    <t>Молибден (ААС)</t>
  </si>
  <si>
    <t>Мышьяк (ААС)</t>
  </si>
  <si>
    <t>Никель (ААС)</t>
  </si>
  <si>
    <t>Свинец (ААС)</t>
  </si>
  <si>
    <t>Селен (ААС)</t>
  </si>
  <si>
    <t>Экспертиза издания, отличающегося одновариантным шрифтовым оформлением по всему объему издания (1 категория сложности)</t>
  </si>
  <si>
    <t>Определение кегля шрифта текста</t>
  </si>
  <si>
    <t>Определение длины строки текста</t>
  </si>
  <si>
    <t>Определение расстояния длины между колоннами</t>
  </si>
  <si>
    <t>Определение вида бумаги</t>
  </si>
  <si>
    <t>Оценка скрепления издания</t>
  </si>
  <si>
    <t>7.1.</t>
  </si>
  <si>
    <t>7.2.</t>
  </si>
  <si>
    <t>керосин</t>
  </si>
  <si>
    <t>49,74</t>
  </si>
  <si>
    <t>толуол</t>
  </si>
  <si>
    <t>Кремы, эмульсии, гели, масла, вазелин, средства для бритья.</t>
  </si>
  <si>
    <t>Коллоидная стабильность</t>
  </si>
  <si>
    <t>149.17</t>
  </si>
  <si>
    <t>Термостабильность</t>
  </si>
  <si>
    <t>Массовая доля влаги</t>
  </si>
  <si>
    <t>Наличие водорастворимых кислот и щелочей</t>
  </si>
  <si>
    <t>Температура каплепадения</t>
  </si>
  <si>
    <t>3.1.6.22.</t>
  </si>
  <si>
    <t>3.1.6.23.</t>
  </si>
  <si>
    <t>3.1.6.24.</t>
  </si>
  <si>
    <t>3.1.7.1.</t>
  </si>
  <si>
    <t>3.1.7.2.</t>
  </si>
  <si>
    <t>3.1.7.3.</t>
  </si>
  <si>
    <t>3.1.7.4.</t>
  </si>
  <si>
    <t>3.1.7.5.</t>
  </si>
  <si>
    <t>3.1.7.6.</t>
  </si>
  <si>
    <t>3.1.7.7.</t>
  </si>
  <si>
    <t>3.1.7.8.</t>
  </si>
  <si>
    <t>3.1.7.9.</t>
  </si>
  <si>
    <t>3.1.7.10.</t>
  </si>
  <si>
    <t>3.1.7.11.</t>
  </si>
  <si>
    <t>3.1.7.12.</t>
  </si>
  <si>
    <t>3.1.7.13.</t>
  </si>
  <si>
    <t>3.1.7.14.</t>
  </si>
  <si>
    <t>3.1.7.15.</t>
  </si>
  <si>
    <t>3.1.7.16.</t>
  </si>
  <si>
    <t>3.3.</t>
  </si>
  <si>
    <t>5.1.</t>
  </si>
  <si>
    <t>3.1.3.</t>
  </si>
  <si>
    <t>3.1.4.</t>
  </si>
  <si>
    <t>3.1.5.</t>
  </si>
  <si>
    <t>3.1.6.</t>
  </si>
  <si>
    <t>182,99</t>
  </si>
  <si>
    <t>117,35</t>
  </si>
  <si>
    <t>Бутилацетат</t>
  </si>
  <si>
    <t>137,24</t>
  </si>
  <si>
    <t>Трихлорэтилен</t>
  </si>
  <si>
    <t>3,55</t>
  </si>
  <si>
    <t>353,05</t>
  </si>
  <si>
    <t>4,9</t>
  </si>
  <si>
    <t>487,30</t>
  </si>
  <si>
    <t>3,7</t>
  </si>
  <si>
    <t>367,96</t>
  </si>
  <si>
    <t>4.2.</t>
  </si>
  <si>
    <t>4.3.</t>
  </si>
  <si>
    <t>4.4.</t>
  </si>
  <si>
    <t>4.15.</t>
  </si>
  <si>
    <t>Организации быстрого  обслуживания (буфет,закусочная)</t>
  </si>
  <si>
    <t>Столовая, кафе</t>
  </si>
  <si>
    <t>Ресторан.</t>
  </si>
  <si>
    <t xml:space="preserve">Цех по производству кондитерских изделий с  суточной  выработкой  кондитерских изделий  с кремом не  более  300 кг. </t>
  </si>
  <si>
    <t>Бактериологические исследования (1 исследование).</t>
  </si>
  <si>
    <t>Смывы, продукты, вода, испражнение на иерсиниозы:</t>
  </si>
  <si>
    <t xml:space="preserve">Исследование грызунов на иерсинии </t>
  </si>
  <si>
    <t>Смывы, продукты, почва, сырье, люди  на сибирскую язву:</t>
  </si>
  <si>
    <t>Смывы, продукты, сырье, люди на бруцеллез:</t>
  </si>
  <si>
    <t>Мясо, мясопродукты. Птица и птицепродукты</t>
  </si>
  <si>
    <t>Сернистый ангидрид и кислота</t>
  </si>
  <si>
    <t xml:space="preserve">На основные виды платных лабораторных исследований и услуг </t>
  </si>
  <si>
    <t>3.1.1.1</t>
  </si>
  <si>
    <t>3.1.1.2</t>
  </si>
  <si>
    <t>3.1.1.3</t>
  </si>
  <si>
    <t>3.1.1.4</t>
  </si>
  <si>
    <t>3.1.1.5</t>
  </si>
  <si>
    <t>3.1.1.6</t>
  </si>
  <si>
    <t>3.1.1.7</t>
  </si>
  <si>
    <t>3.1.1.8</t>
  </si>
  <si>
    <t>3.1.1.9</t>
  </si>
  <si>
    <t>3.1.1.10</t>
  </si>
  <si>
    <t>3.1.1.11</t>
  </si>
  <si>
    <t>3.1.1.12</t>
  </si>
  <si>
    <t>3.1.1.13</t>
  </si>
  <si>
    <t>3.1.1.14</t>
  </si>
  <si>
    <t>3.1.1.15</t>
  </si>
  <si>
    <t>3.1.1.16</t>
  </si>
  <si>
    <t>3.1.1.17</t>
  </si>
  <si>
    <t>3.1.1.18</t>
  </si>
  <si>
    <t>3.1.1.19</t>
  </si>
  <si>
    <t>3.1.1.20</t>
  </si>
  <si>
    <t>3.1.1.21</t>
  </si>
  <si>
    <t>3.1.1.22</t>
  </si>
  <si>
    <t>3.1.1.23</t>
  </si>
  <si>
    <t>3.1.1.24</t>
  </si>
  <si>
    <t>3.1.1.25</t>
  </si>
  <si>
    <t>3.1.1.26</t>
  </si>
  <si>
    <t>3.1.1.27</t>
  </si>
  <si>
    <t>3.1.1.28</t>
  </si>
  <si>
    <t>3.1.1.29</t>
  </si>
  <si>
    <t>3.1.1.30</t>
  </si>
  <si>
    <t>3.1.1.31</t>
  </si>
  <si>
    <t>3.1.1.32</t>
  </si>
  <si>
    <t>3.1.1.33</t>
  </si>
  <si>
    <t>3.1.2.1.</t>
  </si>
  <si>
    <t>3.1.2.2.</t>
  </si>
  <si>
    <t>3.1.2.3.</t>
  </si>
  <si>
    <t>3.1.2.4.</t>
  </si>
  <si>
    <t>3.1.2.5.</t>
  </si>
  <si>
    <t>3.1.2.6.</t>
  </si>
  <si>
    <t>3.1.2.7.</t>
  </si>
  <si>
    <t>3.1.2.8.</t>
  </si>
  <si>
    <t>3.1.2.9.</t>
  </si>
  <si>
    <t>3.1.2.10.</t>
  </si>
  <si>
    <t>3.1.2.11.</t>
  </si>
  <si>
    <t>3.1.2.12.</t>
  </si>
  <si>
    <t>3.1.2.13.</t>
  </si>
  <si>
    <t>3.1.2.14.</t>
  </si>
  <si>
    <t>3.1.2.15.</t>
  </si>
  <si>
    <t>3.1.2.16.</t>
  </si>
  <si>
    <t>3.1.2.17.</t>
  </si>
  <si>
    <t>3.1.2.18.</t>
  </si>
  <si>
    <t>3.1.2.19.</t>
  </si>
  <si>
    <t>3.1.2.20.</t>
  </si>
  <si>
    <t>3.1.2.21.</t>
  </si>
  <si>
    <t>3.1.2.22.</t>
  </si>
  <si>
    <t>3.1.2.23.</t>
  </si>
  <si>
    <t>3.1.3.1.</t>
  </si>
  <si>
    <t>3.1.3.2.</t>
  </si>
  <si>
    <t>3.1.3.3.</t>
  </si>
  <si>
    <t>3.1.3.4.</t>
  </si>
  <si>
    <t>3.1.3.5.</t>
  </si>
  <si>
    <t>3.1.3.6.</t>
  </si>
  <si>
    <t>3.1.3.7.</t>
  </si>
  <si>
    <t>3.1.3.8.</t>
  </si>
  <si>
    <t>3.1.3.9.</t>
  </si>
  <si>
    <t>3.1.3.10.</t>
  </si>
  <si>
    <t>3.1.3.11.</t>
  </si>
  <si>
    <t>3.1.3.12.</t>
  </si>
  <si>
    <t>3.1.3.14.</t>
  </si>
  <si>
    <t>3.1.3.15.</t>
  </si>
  <si>
    <t>3.1.3.16.</t>
  </si>
  <si>
    <t>3.1.3.17.</t>
  </si>
  <si>
    <t>3.1.4.1.</t>
  </si>
  <si>
    <t>3.1.4.2.</t>
  </si>
  <si>
    <t>3.1.4.3.</t>
  </si>
  <si>
    <t>3.1.4.4.</t>
  </si>
  <si>
    <t>3.1.4.5.</t>
  </si>
  <si>
    <t>3.1.4.6.</t>
  </si>
  <si>
    <t>3.1.4.7.</t>
  </si>
  <si>
    <t>3.1.4.8.</t>
  </si>
  <si>
    <t>3.1.4.9.</t>
  </si>
  <si>
    <t>3.1.4.10.</t>
  </si>
  <si>
    <t>3.1.4.11.</t>
  </si>
  <si>
    <t>3.1.4.12.</t>
  </si>
  <si>
    <t>3.1.4.13.</t>
  </si>
  <si>
    <t>3.1.4.14.</t>
  </si>
  <si>
    <t>3.1.4.15.</t>
  </si>
  <si>
    <t>3.1.4.16.</t>
  </si>
  <si>
    <t>3.1.4.17.</t>
  </si>
  <si>
    <t>3.1.5.1.</t>
  </si>
  <si>
    <t>3.1.5.2.</t>
  </si>
  <si>
    <t>3.1.5.3.</t>
  </si>
  <si>
    <t>3.1.5.4.</t>
  </si>
  <si>
    <t>3.1.5.5.</t>
  </si>
  <si>
    <t>3.1.5.6.</t>
  </si>
  <si>
    <t>3.1.5.7.</t>
  </si>
  <si>
    <t>3.1.5.8.</t>
  </si>
  <si>
    <t>3.1.5.9.</t>
  </si>
  <si>
    <t>3.1.5.10.</t>
  </si>
  <si>
    <t>3.1.5.11.</t>
  </si>
  <si>
    <t>3.1.5.12.</t>
  </si>
  <si>
    <t>3.1.5.13.</t>
  </si>
  <si>
    <t>3.1.5.14.</t>
  </si>
  <si>
    <t>3.1.5.15.</t>
  </si>
  <si>
    <t>3.1.5.16.</t>
  </si>
  <si>
    <t>3.1.5.17.</t>
  </si>
  <si>
    <t>3.1.5.18.</t>
  </si>
  <si>
    <t>3.1.5.19.</t>
  </si>
  <si>
    <t>3.1.5.20.</t>
  </si>
  <si>
    <t>3.1.5.21.</t>
  </si>
  <si>
    <t>3.1.5.22.</t>
  </si>
  <si>
    <t>3.1.5.23.</t>
  </si>
  <si>
    <t>3.1.5.24.</t>
  </si>
  <si>
    <t>3.1.5.25.</t>
  </si>
  <si>
    <t>3.1.5.26</t>
  </si>
  <si>
    <t>3.1.6.1.</t>
  </si>
  <si>
    <t>3.1.6.2.</t>
  </si>
  <si>
    <t>3.1.6.3.</t>
  </si>
  <si>
    <t>3.1.6.4.</t>
  </si>
  <si>
    <t>3.1.6.5.</t>
  </si>
  <si>
    <t>3.1.6.6.</t>
  </si>
  <si>
    <t>3.1.6.7.</t>
  </si>
  <si>
    <t>3.1.6.8.</t>
  </si>
  <si>
    <t>3.1.6.9.</t>
  </si>
  <si>
    <t>3.1.6.10.</t>
  </si>
  <si>
    <t>3.1.6.11.</t>
  </si>
  <si>
    <t>3.1.6.12.</t>
  </si>
  <si>
    <t>3.1.6.13.</t>
  </si>
  <si>
    <t>3.1.6.14.</t>
  </si>
  <si>
    <t>3.1.6.15.</t>
  </si>
  <si>
    <t>3.1.6.16.</t>
  </si>
  <si>
    <t>3.1.6.17.</t>
  </si>
  <si>
    <t>3.1.6.18.</t>
  </si>
  <si>
    <t>3.1.6.19.</t>
  </si>
  <si>
    <t>3.1.6.20.</t>
  </si>
  <si>
    <t>3.1.6.21.</t>
  </si>
  <si>
    <t>Прищепка для белья, скатерть (в т.ч. одноразового использования) подставки, поднос, ведро, тазики, терка, яйцерезка, соковыжималка. Формы для пельменей, печенья. Шприц кондитерский. Совок, лоток, лопаточки. Щетки, ерши, губки, сушилки, пробки. Мешки для хозяйственных нужд, мыльницы. Хозяйственные перчатки, мочалки, расческа, бигуди, шапочки из полимерной пленки, пленки, ванночки, канистра, фляга, рукомойник, вантуз, плечики.</t>
  </si>
  <si>
    <t>Миграция красителя</t>
  </si>
  <si>
    <t>Химическая стойкость</t>
  </si>
  <si>
    <t>Елочные игрушки.</t>
  </si>
  <si>
    <t>Измерение параметров микроклимата на 1 рабочем месте</t>
  </si>
  <si>
    <t>Измерение искусственной освещенности на 1 рабочем месте</t>
  </si>
  <si>
    <t>Санитарная вирусология</t>
  </si>
  <si>
    <t>2,925</t>
  </si>
  <si>
    <t>ПЦР (полимеразно - цепная реакция)</t>
  </si>
  <si>
    <t>Иммуноферментный анализ (ИФА) определение антител в сыворотках крови:</t>
  </si>
  <si>
    <t>10.2.5.1.1.</t>
  </si>
  <si>
    <t>10.2.5.1.2.</t>
  </si>
  <si>
    <t>10.2.5.1.3.</t>
  </si>
  <si>
    <t>10.2.5.1.4.</t>
  </si>
  <si>
    <t>10.2.5.1.5.</t>
  </si>
  <si>
    <t>10.2.5.1.6.</t>
  </si>
  <si>
    <t>10.2.5.2.</t>
  </si>
  <si>
    <t>Паразитологические исследования биологического материала для выездных работ в районах</t>
  </si>
  <si>
    <t>10.3.1.</t>
  </si>
  <si>
    <t>10.3.2.</t>
  </si>
  <si>
    <t>3.2. САНИТАРНО-ГИГИЕНИЧЕСКИЕ ЛАБОРАТОРНЫЕ ИССЛЕДОВАНИЯ КОММУНАЛЬНОЙ ГИГИЕНЫ</t>
  </si>
  <si>
    <t>Серологические исследования</t>
  </si>
  <si>
    <t>11.Радиологические исследования</t>
  </si>
  <si>
    <t>11.1. Радиационно-гигиенические исследования</t>
  </si>
  <si>
    <t>11.1.2.</t>
  </si>
  <si>
    <t>11.1.1.</t>
  </si>
  <si>
    <t>11.1.1.1.</t>
  </si>
  <si>
    <t>11.1.1.2.</t>
  </si>
  <si>
    <t>11.1.1.3.</t>
  </si>
  <si>
    <t>11.1.1.4.</t>
  </si>
  <si>
    <t>11.1.2.1.</t>
  </si>
  <si>
    <t>11.1.2.2.</t>
  </si>
  <si>
    <t>11.1.2.3.</t>
  </si>
  <si>
    <t>11.1.2.4.</t>
  </si>
  <si>
    <t>11.1.2.5.</t>
  </si>
  <si>
    <t>11.1.2.6.</t>
  </si>
  <si>
    <t>11.1.2.7.</t>
  </si>
  <si>
    <t>11.1.2.8.</t>
  </si>
  <si>
    <t>11.1.2.9.</t>
  </si>
  <si>
    <t>11.1.2.10.</t>
  </si>
  <si>
    <t>11.1.2.12.</t>
  </si>
  <si>
    <t>11.1.3.</t>
  </si>
  <si>
    <t>11.1.3.1.</t>
  </si>
  <si>
    <t>11.1.3.2.</t>
  </si>
  <si>
    <t>11.1.3.3.</t>
  </si>
  <si>
    <t>11.1.3.4.</t>
  </si>
  <si>
    <t>11.1.3.5.</t>
  </si>
  <si>
    <t>11.1.3.6.</t>
  </si>
  <si>
    <t>11.1.3.7.</t>
  </si>
  <si>
    <t>11.1.3.8.</t>
  </si>
  <si>
    <t>11.1.3.9.</t>
  </si>
  <si>
    <t>11.1.3.9.1.</t>
  </si>
  <si>
    <t>11.1.3.9.2.</t>
  </si>
  <si>
    <t>11.1.3.9.3.</t>
  </si>
  <si>
    <t>11.1.3.9.4.</t>
  </si>
  <si>
    <t>11.1.4.</t>
  </si>
  <si>
    <t>11.1.4.1.</t>
  </si>
  <si>
    <t>11.1.4.2.</t>
  </si>
  <si>
    <t>11.1.4.3.</t>
  </si>
  <si>
    <t>11.1.4.4.</t>
  </si>
  <si>
    <t>11.1.4.5.</t>
  </si>
  <si>
    <t>11.1.4.6.</t>
  </si>
  <si>
    <t>11.1.4.7.</t>
  </si>
  <si>
    <t>11.1.5.</t>
  </si>
  <si>
    <t>11.1.5.1.</t>
  </si>
  <si>
    <t>11.1.5.2.</t>
  </si>
  <si>
    <t>11.2.1.</t>
  </si>
  <si>
    <t>11.2.2.</t>
  </si>
  <si>
    <t>11.2.3.</t>
  </si>
  <si>
    <t>11.2.4.</t>
  </si>
  <si>
    <t>11.2.5.</t>
  </si>
  <si>
    <t>11.3.1.</t>
  </si>
  <si>
    <t>11.4.1.</t>
  </si>
  <si>
    <t>11.4.2.</t>
  </si>
  <si>
    <t>11.4.3.</t>
  </si>
  <si>
    <t>11.4.4.</t>
  </si>
  <si>
    <t>11.4.5.</t>
  </si>
  <si>
    <t>11.4.6.</t>
  </si>
  <si>
    <t>12. Санитарно — физические исследования</t>
  </si>
  <si>
    <t>Мелкорозничная торговле (киоск, павильон).</t>
  </si>
  <si>
    <t>Керосин, бензин эмульсионным методом</t>
  </si>
  <si>
    <t>4,4</t>
  </si>
  <si>
    <t>437,58</t>
  </si>
  <si>
    <t>Марганец</t>
  </si>
  <si>
    <t>3,4</t>
  </si>
  <si>
    <t>4.12.20.</t>
  </si>
  <si>
    <t>4.12.21.</t>
  </si>
  <si>
    <t>4.12.22.</t>
  </si>
  <si>
    <t>4.13.1.</t>
  </si>
  <si>
    <t>4.13.1.1.</t>
  </si>
  <si>
    <t>4.13.1.2.</t>
  </si>
  <si>
    <t>4.13.2.</t>
  </si>
  <si>
    <t>4.13.3.</t>
  </si>
  <si>
    <t>4.13.4.</t>
  </si>
  <si>
    <t>4.13.5.</t>
  </si>
  <si>
    <t>4.13.6.</t>
  </si>
  <si>
    <t>4.13.7.</t>
  </si>
  <si>
    <t>4.13.8.</t>
  </si>
  <si>
    <t>4.13.9.</t>
  </si>
  <si>
    <t>Подготовка проб к исследованию, для определения мигрирующих веществ в водную среду:</t>
  </si>
  <si>
    <t>4.13.11.</t>
  </si>
  <si>
    <t>4.13.12.</t>
  </si>
  <si>
    <t>4.13.13.</t>
  </si>
  <si>
    <t>4.13.7.1.</t>
  </si>
  <si>
    <t>4.13.7.2.</t>
  </si>
  <si>
    <t>4.13.7.3.</t>
  </si>
  <si>
    <t>4.13.7.4.</t>
  </si>
  <si>
    <t>4.13.7.5.</t>
  </si>
  <si>
    <t>4.13.7.6.</t>
  </si>
  <si>
    <t>4.13.7.7.</t>
  </si>
  <si>
    <t>4.13.7.8.</t>
  </si>
  <si>
    <t>4.13.7.9.</t>
  </si>
  <si>
    <t>4.13.10.</t>
  </si>
  <si>
    <t>4.14.1</t>
  </si>
  <si>
    <t>4.14.2.</t>
  </si>
  <si>
    <t>4.14.3.</t>
  </si>
  <si>
    <t>4.14.4.</t>
  </si>
  <si>
    <t>4.14.5.</t>
  </si>
  <si>
    <t>4.14.6.</t>
  </si>
  <si>
    <t>4.14.7.</t>
  </si>
  <si>
    <t>4.14.8.</t>
  </si>
  <si>
    <t>4.14.9.</t>
  </si>
  <si>
    <t>4.15.1.</t>
  </si>
  <si>
    <t>4.15.2.</t>
  </si>
  <si>
    <t>4.15.3.</t>
  </si>
  <si>
    <t>4.16.1.</t>
  </si>
  <si>
    <t>4.16.2.</t>
  </si>
  <si>
    <t>4.16.3.</t>
  </si>
  <si>
    <t>4.17.1.</t>
  </si>
  <si>
    <t>4.17.2.</t>
  </si>
  <si>
    <t>4.17.3.</t>
  </si>
  <si>
    <t>4.17.4.</t>
  </si>
  <si>
    <t>4.17.4.1.</t>
  </si>
  <si>
    <t>4.17.4.2.</t>
  </si>
  <si>
    <t>4.17.4.3.</t>
  </si>
  <si>
    <t>4.17.4.4.</t>
  </si>
  <si>
    <t>Кремния диоксид</t>
  </si>
  <si>
    <t>6,66</t>
  </si>
  <si>
    <t>662,34</t>
  </si>
  <si>
    <t>5,67</t>
  </si>
  <si>
    <t>563,88</t>
  </si>
  <si>
    <t>Серебро (ААС)</t>
  </si>
  <si>
    <t>Стронций (ААС)</t>
  </si>
  <si>
    <t>Сурьма (ААС)</t>
  </si>
  <si>
    <t>Ртуть (ААС)</t>
  </si>
  <si>
    <t>Хром (ААС)</t>
  </si>
  <si>
    <t>Цинк (ААС)</t>
  </si>
  <si>
    <t>Аммоний (капилл.)</t>
  </si>
  <si>
    <t>Калий (капилл.)</t>
  </si>
  <si>
    <t>Кальций (капилл.)</t>
  </si>
  <si>
    <t>7.3.</t>
  </si>
  <si>
    <t>231,22</t>
  </si>
  <si>
    <t>3.3.9.</t>
  </si>
  <si>
    <t>6.4.4.</t>
  </si>
  <si>
    <t>6.4.5.</t>
  </si>
  <si>
    <t>Содержание восстанавливающих веществ</t>
  </si>
  <si>
    <t>Промышленные предприятия</t>
  </si>
  <si>
    <t>248,62</t>
  </si>
  <si>
    <t>29,84</t>
  </si>
  <si>
    <t>- исследование по схеме</t>
  </si>
  <si>
    <t>Трихинеллоскопия методом переваривания в искусственном желудочном соке</t>
  </si>
  <si>
    <t>Исследования крови на малярию и других кровепаразитов</t>
  </si>
  <si>
    <t>Серологические исследования одной сыворотки</t>
  </si>
  <si>
    <t>эхинококкозы</t>
  </si>
  <si>
    <t>описторхоз</t>
  </si>
  <si>
    <t>трихинеллез</t>
  </si>
  <si>
    <t>токсоплазмоз</t>
  </si>
  <si>
    <t>токсокароз</t>
  </si>
  <si>
    <t>лямблиоз</t>
  </si>
  <si>
    <t>Забор крови из вены</t>
  </si>
  <si>
    <t>6.3.5.</t>
  </si>
  <si>
    <t>6.4.1.</t>
  </si>
  <si>
    <t>6.4.2.</t>
  </si>
  <si>
    <t>Обучение сдатчиков молока</t>
  </si>
  <si>
    <t>Определение модельных сред для определения СТМ атомно -абсорбсионным спектрометрией при концентрировании проб</t>
  </si>
  <si>
    <t>Пробоподготовка</t>
  </si>
  <si>
    <t>Исследования дуоденального содержимого на яйца, личинки  и фрагменты гельминтов, простейших</t>
  </si>
  <si>
    <t>Обучение граждан с постоянной регистрацией в РС(Я)</t>
  </si>
  <si>
    <t>Массовая доля костных включений</t>
  </si>
  <si>
    <t>Массовая доля влаги, выделившаяся при размораживании тушек кур</t>
  </si>
  <si>
    <t>Синтетические красители (капиллярный электрофорез)</t>
  </si>
  <si>
    <t>Синтетические красители (ТСХ)</t>
  </si>
  <si>
    <t>фотометрическим методом</t>
  </si>
  <si>
    <t>ВЭЖХ</t>
  </si>
  <si>
    <t>Синтетические красители (ВЭЖХ)</t>
  </si>
  <si>
    <t>№ п/п</t>
  </si>
  <si>
    <t>Ед. изм.</t>
  </si>
  <si>
    <t>Измерение защиты на объектах контроля: - объекты 4 категории сложности: РИПы 1-й группы - 1 измерение</t>
  </si>
  <si>
    <t>Медицинские рентгеновские аппараты - 1 измерение</t>
  </si>
  <si>
    <t>Подготовка специалиста на рабочем месте (на 1 чел.)</t>
  </si>
  <si>
    <t>Измерение радиационного фона в жилых, общественных и производственных зданиях - 1 измерение</t>
  </si>
  <si>
    <t>Коррозийная стойкость</t>
  </si>
  <si>
    <t>Стойкость эмалевого покрытия против абсорбции красящих пищевых сред</t>
  </si>
  <si>
    <t>Игрушки из полимерных и других материалов.</t>
  </si>
  <si>
    <t>- из пластмассы</t>
  </si>
  <si>
    <t>- из резины и пластизоля</t>
  </si>
  <si>
    <t>149,17</t>
  </si>
  <si>
    <t>Определение в водных вытяжках:</t>
  </si>
  <si>
    <t>- стирола</t>
  </si>
  <si>
    <t>19,98</t>
  </si>
  <si>
    <t>Карбонильное число</t>
  </si>
  <si>
    <t>Кроющая способность</t>
  </si>
  <si>
    <t>Лаки, эмали, растворители, пасты.</t>
  </si>
  <si>
    <t>Условия вязкости при 20С</t>
  </si>
  <si>
    <t>Время высыхания</t>
  </si>
  <si>
    <t>Средства для гигиенического ухода и придания запаха (духи, одеколоны, лосьоны, тоники).</t>
  </si>
  <si>
    <t>Стойкость запаха</t>
  </si>
  <si>
    <t>Массовая доля душистых веществ:</t>
  </si>
  <si>
    <t>содержание до 5</t>
  </si>
  <si>
    <t>содержание свыше 5</t>
  </si>
  <si>
    <t>Крепость условная:</t>
  </si>
  <si>
    <t>ареометрическим методом</t>
  </si>
  <si>
    <t>пикнометрическим методом</t>
  </si>
  <si>
    <t>Пасты зубные.</t>
  </si>
  <si>
    <t>Углекислый кальций</t>
  </si>
  <si>
    <t>Поглотительная способность</t>
  </si>
  <si>
    <t>Массовая доля хлористых солей</t>
  </si>
  <si>
    <t>Массовая доля кальциевых солей</t>
  </si>
  <si>
    <t xml:space="preserve"> АТМОСФЕРНЫЙ ВОЗДУХ и ВОЗДУХ ЗАКРЫТЫХ ПОМЕЩЕНИЙ</t>
  </si>
  <si>
    <t>Окись кальция</t>
  </si>
  <si>
    <t xml:space="preserve">  бензин</t>
  </si>
  <si>
    <t xml:space="preserve">  ксилол</t>
  </si>
  <si>
    <t xml:space="preserve">  бензол</t>
  </si>
  <si>
    <t xml:space="preserve">  сероводород</t>
  </si>
  <si>
    <t xml:space="preserve">  ацетон</t>
  </si>
  <si>
    <t xml:space="preserve">  метанол</t>
  </si>
  <si>
    <t xml:space="preserve">  кислород</t>
  </si>
  <si>
    <t xml:space="preserve">  цианистый водород</t>
  </si>
  <si>
    <t xml:space="preserve">  ртуть</t>
  </si>
  <si>
    <t xml:space="preserve">  пропан-бутан</t>
  </si>
  <si>
    <t xml:space="preserve">  дизельное топливо</t>
  </si>
  <si>
    <t xml:space="preserve">  индуструальное масло</t>
  </si>
  <si>
    <t xml:space="preserve">  озон</t>
  </si>
  <si>
    <t xml:space="preserve">  керосин</t>
  </si>
  <si>
    <t xml:space="preserve">  хлор</t>
  </si>
  <si>
    <t xml:space="preserve">  хлористый водород</t>
  </si>
  <si>
    <t>- диэтилфталат</t>
  </si>
  <si>
    <t>- эпихлоргидрин</t>
  </si>
  <si>
    <t>- терефталат</t>
  </si>
  <si>
    <t>- метанол</t>
  </si>
  <si>
    <t>Токсические вещества (кадмий, свинец) инверсионно - вольтам -перометрическим методом</t>
  </si>
  <si>
    <t>546,97</t>
  </si>
  <si>
    <t>Оформление протокола</t>
  </si>
  <si>
    <t>Стойкость декоративных покрытий к действию слюны, пота и влажной обработки</t>
  </si>
  <si>
    <r>
      <t xml:space="preserve">Настольно </t>
    </r>
    <r>
      <rPr>
        <sz val="10"/>
        <color indexed="8"/>
        <rFont val="Times New Roman"/>
        <family val="1"/>
      </rPr>
      <t xml:space="preserve">- </t>
    </r>
    <r>
      <rPr>
        <b/>
        <sz val="10"/>
        <color indexed="8"/>
        <rFont val="Times New Roman"/>
        <family val="1"/>
      </rPr>
      <t>печатные.</t>
    </r>
  </si>
  <si>
    <t>Сорбиновая кислота (с отгоном)</t>
  </si>
  <si>
    <t>Бензойная кислота (с отгоном)</t>
  </si>
  <si>
    <t>Масса нетто</t>
  </si>
  <si>
    <t>Приготовление аппаратуры и материалов</t>
  </si>
  <si>
    <t>Подготовка проб к анализу</t>
  </si>
  <si>
    <t>Органолептика</t>
  </si>
  <si>
    <t>Гепатиты: ИФА</t>
  </si>
  <si>
    <t>- на анализ</t>
  </si>
  <si>
    <t>2,8</t>
  </si>
  <si>
    <t>278,46</t>
  </si>
  <si>
    <t>3,425</t>
  </si>
  <si>
    <t>4,3</t>
  </si>
  <si>
    <t>427,64</t>
  </si>
  <si>
    <t>- фотометрия -</t>
  </si>
  <si>
    <t>Люминесценции масла сливочного</t>
  </si>
  <si>
    <t>Парфюмерно-косметические средства.</t>
  </si>
  <si>
    <t>Органолептика (внешний вид, цвет, запах)</t>
  </si>
  <si>
    <t>Определение металлов:</t>
  </si>
  <si>
    <t>4.5.</t>
  </si>
  <si>
    <t>4.6.</t>
  </si>
  <si>
    <t>4.7.</t>
  </si>
  <si>
    <t>4.8.</t>
  </si>
  <si>
    <t>4.9.</t>
  </si>
  <si>
    <t>4.10.</t>
  </si>
  <si>
    <t>Кислотное число</t>
  </si>
  <si>
    <t>Цветность по йоду</t>
  </si>
  <si>
    <t>Йодное число</t>
  </si>
  <si>
    <t>Массовая доля отстоя</t>
  </si>
  <si>
    <t>6.3.1.</t>
  </si>
  <si>
    <t>6.3.2.</t>
  </si>
  <si>
    <t>6.3.3.</t>
  </si>
  <si>
    <t>6.3.4.</t>
  </si>
  <si>
    <t>Массовая доля глицерина</t>
  </si>
  <si>
    <t>Определение типа эмульсий</t>
  </si>
  <si>
    <t>0,6</t>
  </si>
  <si>
    <t>59,67</t>
  </si>
  <si>
    <t>Массовая доля жирных кислот</t>
  </si>
  <si>
    <t>Массовая доля хлоридов</t>
  </si>
  <si>
    <t>Пенное число</t>
  </si>
  <si>
    <t>Средства пенно-моющие для принятия ванн, душа, шампуни и бальзамы.</t>
  </si>
  <si>
    <t>Жир (по Сокслету)</t>
  </si>
  <si>
    <t>Жир (экстр - вес)</t>
  </si>
  <si>
    <t>Промышленные предприятия: с количеством работников до 100 чел.</t>
  </si>
  <si>
    <t>Массовая доля неомыляемых веществ</t>
  </si>
  <si>
    <t>час</t>
  </si>
  <si>
    <t xml:space="preserve">  уксусная кислота</t>
  </si>
  <si>
    <t xml:space="preserve">  этанол</t>
  </si>
  <si>
    <t>Водородный показатель</t>
  </si>
  <si>
    <t>ПАВ</t>
  </si>
  <si>
    <t>Массовая доля влаги и сухого вещества</t>
  </si>
  <si>
    <t>Мыло хозяйственное и туалетное.</t>
  </si>
  <si>
    <t>Качественное число</t>
  </si>
  <si>
    <t>Содопродукты (свободная едкая щелочь)</t>
  </si>
  <si>
    <t>Углекислый натрий</t>
  </si>
  <si>
    <t>Нежировые примеси</t>
  </si>
  <si>
    <t>Мыло</t>
  </si>
  <si>
    <t>Число омыления</t>
  </si>
  <si>
    <t>Напитки, соки, сиропы, пиво.</t>
  </si>
  <si>
    <t>Крепость</t>
  </si>
  <si>
    <t>Цветность сахара-песка и рафинада (фотометрия)</t>
  </si>
  <si>
    <t>Крепость и продолжительность растворения сахара в воде</t>
  </si>
  <si>
    <t>Гранулометрический состав сахара-песка и сахара-рафинада</t>
  </si>
  <si>
    <t>Анизидиновое число в подсолнечном масле</t>
  </si>
  <si>
    <t>Транс-изомеры олеиновой кислоты</t>
  </si>
  <si>
    <t>Органолептические показатели в пиве (пеностойкость, высота пены)</t>
  </si>
  <si>
    <t>Свинец ААС-ЭТА</t>
  </si>
  <si>
    <t>Кадмий ААС-ЭТА</t>
  </si>
  <si>
    <t>Мышьяк ААС-ЭТА</t>
  </si>
  <si>
    <t>Ртуть ААС-ЭТА</t>
  </si>
  <si>
    <t>Оксиметифурфурол (качественная реакция)</t>
  </si>
  <si>
    <t>Готовые блюда и полуфабрикаты</t>
  </si>
  <si>
    <t>Цианиды (фотом.)</t>
  </si>
  <si>
    <t>Молибден (флуорим.)</t>
  </si>
  <si>
    <t>Сероводород (фотом.)</t>
  </si>
  <si>
    <t>Сероводород ( флуорим.)</t>
  </si>
  <si>
    <t>1,2</t>
  </si>
  <si>
    <t>119,34</t>
  </si>
  <si>
    <t>Ртуть (вольт-ампер.)</t>
  </si>
  <si>
    <t>Формальдегид (флуорим.)</t>
  </si>
  <si>
    <t>Марганец (фотом.)</t>
  </si>
  <si>
    <t>Марганец (флуорим.)</t>
  </si>
  <si>
    <t>Алюминий (фотом.)</t>
  </si>
  <si>
    <t>Щелочность (гидрокарбонаты)</t>
  </si>
  <si>
    <t>Жесткость (титрим.)</t>
  </si>
  <si>
    <t>0,75</t>
  </si>
  <si>
    <t>74,59</t>
  </si>
  <si>
    <t>Кальций (титрим.)</t>
  </si>
  <si>
    <t>Магний (расчетный)</t>
  </si>
  <si>
    <t>Количественное определение вирусов</t>
  </si>
  <si>
    <t>Типирование вирусов</t>
  </si>
  <si>
    <t>Нитрозамины</t>
  </si>
  <si>
    <t>Минеральные вещества (Са, Мд)</t>
  </si>
  <si>
    <t>Минеральные вещества (Р)</t>
  </si>
  <si>
    <t>Кислотность</t>
  </si>
  <si>
    <t>Жир</t>
  </si>
  <si>
    <t>Фосфатаза по реакции с 4 - аминоантипирином</t>
  </si>
  <si>
    <t>Сухие вещества</t>
  </si>
  <si>
    <t>Пероксидаза</t>
  </si>
  <si>
    <t>Степень чистоты</t>
  </si>
  <si>
    <t>Плотность по лактоденсиметру</t>
  </si>
  <si>
    <t>Сода</t>
  </si>
  <si>
    <t>Перекисное число (для макаронный изделий быстрого приготовления)</t>
  </si>
  <si>
    <t>Краситель (с шерстяной нитью) для макаронных изделий быстрого приготовления</t>
  </si>
  <si>
    <t>Сахар (горячее титрование)</t>
  </si>
  <si>
    <t>Температура плавления</t>
  </si>
  <si>
    <t>Температура застывания</t>
  </si>
  <si>
    <t>Сорбат натрия</t>
  </si>
  <si>
    <t>Цветность</t>
  </si>
  <si>
    <t>Оксиметилфурфурол:</t>
  </si>
  <si>
    <t xml:space="preserve"> - качественная реакция</t>
  </si>
  <si>
    <t xml:space="preserve"> - количественная реакция</t>
  </si>
  <si>
    <t>Приведенный экстракт (пикнометрический)</t>
  </si>
  <si>
    <t>Лимонная кислота</t>
  </si>
  <si>
    <t>Полнота налива</t>
  </si>
  <si>
    <t>Сахар методом Бертрана</t>
  </si>
  <si>
    <t>Красители (с шерстяной нитью)</t>
  </si>
  <si>
    <t>Отстой масла</t>
  </si>
  <si>
    <t>Активная кислотность (рН)</t>
  </si>
  <si>
    <t>591,22</t>
  </si>
  <si>
    <t>3.3.3.</t>
  </si>
  <si>
    <t>Чувствительность к антибиотикам к каждому виду выделенного микроба</t>
  </si>
  <si>
    <t>60,0</t>
  </si>
  <si>
    <t>3.3.4.</t>
  </si>
  <si>
    <t>Кровь на стерильность</t>
  </si>
  <si>
    <t>Учреждения образования</t>
  </si>
  <si>
    <t>Одежда, ткани и изделия из них.</t>
  </si>
  <si>
    <t>Устойчивость к окраски ткани:</t>
  </si>
  <si>
    <t>- трению и стирке</t>
  </si>
  <si>
    <t>- к имитатору пота</t>
  </si>
  <si>
    <t>Определение аппрета на основе:</t>
  </si>
  <si>
    <t>- крахмала</t>
  </si>
  <si>
    <t>- фенол-формальдегидных смол</t>
  </si>
  <si>
    <t>- азотсодержащих смол</t>
  </si>
  <si>
    <t>Определение свободных солей:</t>
  </si>
  <si>
    <t>- Алюминия</t>
  </si>
  <si>
    <t>129,29</t>
  </si>
  <si>
    <t>- Меди</t>
  </si>
  <si>
    <t>- Хрома</t>
  </si>
  <si>
    <t>248,6;,</t>
  </si>
  <si>
    <t>Иод (йодирование йодноватокислым калием)</t>
  </si>
  <si>
    <t>Иод (йодирование йодистым калием)</t>
  </si>
  <si>
    <t>3,0</t>
  </si>
  <si>
    <t>298,35</t>
  </si>
  <si>
    <t>Хлористый натрий</t>
  </si>
  <si>
    <t>Сульфат натрия</t>
  </si>
  <si>
    <t>РН</t>
  </si>
  <si>
    <t>Калий-ион</t>
  </si>
  <si>
    <t>Магний-ион</t>
  </si>
  <si>
    <t>Сульфат-ион</t>
  </si>
  <si>
    <t>2,2</t>
  </si>
  <si>
    <t>218,79</t>
  </si>
  <si>
    <t>Оксид железа</t>
  </si>
  <si>
    <t>1,7</t>
  </si>
  <si>
    <t>Нерастворимый в воде осадок</t>
  </si>
  <si>
    <t>Овощи соленые, квашенные и грибы.</t>
  </si>
  <si>
    <t>соотношение составных частей</t>
  </si>
  <si>
    <t>Овощи и фрукты, свежие и сушеные</t>
  </si>
  <si>
    <t>Сернистый ангидрид</t>
  </si>
  <si>
    <t>1,9</t>
  </si>
  <si>
    <t>Примесь растительного происхождения</t>
  </si>
  <si>
    <t>2,3</t>
  </si>
  <si>
    <t>Массовая доля дефектных плодов</t>
  </si>
  <si>
    <t>Нитраты</t>
  </si>
  <si>
    <t>Калорийность (расчетный метод)</t>
  </si>
  <si>
    <t>Наполнитель в мясных рубленных изделиях</t>
  </si>
  <si>
    <t>Вода (полный химанализ)</t>
  </si>
  <si>
    <t> Определение устойчивости микроорганизмов к дезинфектантам</t>
  </si>
  <si>
    <t>1. КМАФАнМ</t>
  </si>
  <si>
    <t>2.Семейство Enterobacteriaceae</t>
  </si>
  <si>
    <t>3. Дрожжи, плесени</t>
  </si>
  <si>
    <t>5. Синегнойная палочка</t>
  </si>
  <si>
    <t>6. Санитарно-бактериологические исследования</t>
  </si>
  <si>
    <t>Термостатная выдержка при температуре 37°С в течение 3-5 суток</t>
  </si>
  <si>
    <t xml:space="preserve">6.1. </t>
  </si>
  <si>
    <t>Общие на все виды исследований:</t>
  </si>
  <si>
    <t xml:space="preserve">6.2. </t>
  </si>
  <si>
    <t>Нормы времени при работе на микробиологическом экспресс – анализаторе «Бактрак»:</t>
  </si>
  <si>
    <t xml:space="preserve">6.3. </t>
  </si>
  <si>
    <t>Пищевые продукты, БАДы.  Виды исследований:</t>
  </si>
  <si>
    <t>6.3.3.1.</t>
  </si>
  <si>
    <t>6.3.3.2.</t>
  </si>
  <si>
    <t>6.3.4.1.</t>
  </si>
  <si>
    <t>6.3.4.2.</t>
  </si>
  <si>
    <t>6.3.9.</t>
  </si>
  <si>
    <t>6.3.10.</t>
  </si>
  <si>
    <t>6.3.11.</t>
  </si>
  <si>
    <t>6.3.12.</t>
  </si>
  <si>
    <t>6.3.13.</t>
  </si>
  <si>
    <t>6.3.14.</t>
  </si>
  <si>
    <t>6.3.15.</t>
  </si>
  <si>
    <t>6.3.16.</t>
  </si>
  <si>
    <t>6.3.17.</t>
  </si>
  <si>
    <t>6.3.18.</t>
  </si>
  <si>
    <t>6.3.19.</t>
  </si>
  <si>
    <t>6.4.14.1.</t>
  </si>
  <si>
    <t>6.4.14.2.</t>
  </si>
  <si>
    <t>6.4.15.</t>
  </si>
  <si>
    <t>6.4.16.</t>
  </si>
  <si>
    <t>6.5.5.</t>
  </si>
  <si>
    <t>6.4.  </t>
  </si>
  <si>
    <t>Исследование консервов на промышленную стерильность:</t>
  </si>
  <si>
    <t>6.5. </t>
  </si>
  <si>
    <t xml:space="preserve"> Исследование при ПТИ и токсикоинфекциях:</t>
  </si>
  <si>
    <t> Определение остаточных количеств антибиотиков в продуктах животноводства:</t>
  </si>
  <si>
    <t>6.6.2.</t>
  </si>
  <si>
    <t>6.6.3.</t>
  </si>
  <si>
    <t>Вода (питьевая, открытые водоемы, бутылированная, дистиллированная, плавательных бассейнов, сточная):</t>
  </si>
  <si>
    <t xml:space="preserve">6.7. </t>
  </si>
  <si>
    <t>6.7.1.1.</t>
  </si>
  <si>
    <t>6.7.1.2.</t>
  </si>
  <si>
    <t>6.7.2.1.</t>
  </si>
  <si>
    <t>6.7.2.2.</t>
  </si>
  <si>
    <t>6.7.2.3.</t>
  </si>
  <si>
    <t>6.7.2.4.</t>
  </si>
  <si>
    <t>6.7.2.5.</t>
  </si>
  <si>
    <t>6.7.2.6.</t>
  </si>
  <si>
    <t>6.7.2.7.</t>
  </si>
  <si>
    <t>6.7.2.8.</t>
  </si>
  <si>
    <t>6.7.2.9.</t>
  </si>
  <si>
    <t>6.7.2.10.</t>
  </si>
  <si>
    <t>6.7.2.11.</t>
  </si>
  <si>
    <t>6.7.2.12.</t>
  </si>
  <si>
    <t>6.7.2.13.</t>
  </si>
  <si>
    <t>6.7.2.14.</t>
  </si>
  <si>
    <t>6.7.2.15.</t>
  </si>
  <si>
    <t>Смывы на:</t>
  </si>
  <si>
    <t xml:space="preserve">6.8. </t>
  </si>
  <si>
    <t>6.8.1.</t>
  </si>
  <si>
    <t>6.8.2.</t>
  </si>
  <si>
    <t>6.8.3.</t>
  </si>
  <si>
    <t>6.8.4.</t>
  </si>
  <si>
    <t>6.8.5.</t>
  </si>
  <si>
    <t>6.8.6.</t>
  </si>
  <si>
    <t>6.8.7.</t>
  </si>
  <si>
    <t>Воздух помещений:</t>
  </si>
  <si>
    <t xml:space="preserve">6.9. </t>
  </si>
  <si>
    <t>6.9.1.</t>
  </si>
  <si>
    <t>6.9.2.</t>
  </si>
  <si>
    <t>6.9.3.</t>
  </si>
  <si>
    <t>6.9.4.</t>
  </si>
  <si>
    <t>6.9.5.</t>
  </si>
  <si>
    <t>6.9.6.</t>
  </si>
  <si>
    <t>Материал на стерильность:</t>
  </si>
  <si>
    <t xml:space="preserve">6.10. </t>
  </si>
  <si>
    <t>6.10.1.</t>
  </si>
  <si>
    <t>6.10.2.</t>
  </si>
  <si>
    <t>6.10.3.</t>
  </si>
  <si>
    <t>Аптечные формы:</t>
  </si>
  <si>
    <t xml:space="preserve">6.11. </t>
  </si>
  <si>
    <t>6.11.1.</t>
  </si>
  <si>
    <t>6.11.2.</t>
  </si>
  <si>
    <t>6.11.3.</t>
  </si>
  <si>
    <t>6.11.4.</t>
  </si>
  <si>
    <t>6.11.5.</t>
  </si>
  <si>
    <t>6.11.6.</t>
  </si>
  <si>
    <t>6.11.7.</t>
  </si>
  <si>
    <t>6.11.8.</t>
  </si>
  <si>
    <t xml:space="preserve"> Почва:</t>
  </si>
  <si>
    <t>6.12.1.</t>
  </si>
  <si>
    <t>6.12.2.</t>
  </si>
  <si>
    <t>6.12.3.</t>
  </si>
  <si>
    <t>6.12.4.</t>
  </si>
  <si>
    <t>6.12.5.</t>
  </si>
  <si>
    <t>6.12.6.</t>
  </si>
  <si>
    <t>Массовая доля двууглекислого магния</t>
  </si>
  <si>
    <t>Колористическая оценка</t>
  </si>
  <si>
    <t>Изделия декоративной косметики (пудра, тени, румяна, помада, блеск, тушь и др.).</t>
  </si>
  <si>
    <t>Массовая доля стеаринокислого цинка и магния</t>
  </si>
  <si>
    <t>228,72</t>
  </si>
  <si>
    <t>Обои простые</t>
  </si>
  <si>
    <t>Кафель, мраморные плиты</t>
  </si>
  <si>
    <t>420,18</t>
  </si>
  <si>
    <t>На камбилобактерии</t>
  </si>
  <si>
    <t>2,425</t>
  </si>
  <si>
    <t>241,18</t>
  </si>
  <si>
    <t>3.3.15.</t>
  </si>
  <si>
    <t>Испражнения на стафилококк</t>
  </si>
  <si>
    <t>320,73</t>
  </si>
  <si>
    <t>Материал при пищевых токсикоинфекциях (рвотные массы, промывные воды, испражнения и т.д.)</t>
  </si>
  <si>
    <t>7,725</t>
  </si>
  <si>
    <t>768,25</t>
  </si>
  <si>
    <t>3.3.17.</t>
  </si>
  <si>
    <t>Зараженность амбарными вредителями</t>
  </si>
  <si>
    <t>Иод</t>
  </si>
  <si>
    <t>Металломагнитная примесь</t>
  </si>
  <si>
    <t>Сорная примесь</t>
  </si>
  <si>
    <t>Минеральные примеси</t>
  </si>
  <si>
    <t>Доброкачественность зерна и круп</t>
  </si>
  <si>
    <t>Сухое вещество, перешедшее в варочную воду</t>
  </si>
  <si>
    <t>Сахар и кондитерские изделия.</t>
  </si>
  <si>
    <t>Влага и сухие вещества</t>
  </si>
  <si>
    <t>Щелочность</t>
  </si>
  <si>
    <t>Жир (рефрактометр.)</t>
  </si>
  <si>
    <t>Сахар (ускорен)</t>
  </si>
  <si>
    <t>Сахар (перманганатным)</t>
  </si>
  <si>
    <t>Зола</t>
  </si>
  <si>
    <t>Антиоксиданты</t>
  </si>
  <si>
    <t>Полимерные строительные материалы с добавлением пром отходов предназначенные для применения в строительстве жилых и общественных.</t>
  </si>
  <si>
    <t>298,3о</t>
  </si>
  <si>
    <t>Поролон</t>
  </si>
  <si>
    <t>Металлический лист</t>
  </si>
  <si>
    <t>Мин.вата</t>
  </si>
  <si>
    <t>Бериллий ( флуорим.)</t>
  </si>
  <si>
    <t>Бор (флуорим.)</t>
  </si>
  <si>
    <t>АПАВ ( флуорим.)</t>
  </si>
  <si>
    <t>Нефтепродукты (флуорим.)</t>
  </si>
  <si>
    <t>Фосфорорганические пестициды (метафос, карбофос, фозалон, фосфамид, лорофос).</t>
  </si>
  <si>
    <t>На газообразующие спорообразующие мезофильные аэробные и факультативно-анаэробные микроорганизмы группы B.polymyxa</t>
  </si>
  <si>
    <t>На спорообразующие термофильные анаэробные, аэробные и факультативно-анаэробные микроорганизмы</t>
  </si>
  <si>
    <t>Мезофильные клостридии</t>
  </si>
  <si>
    <t>Неспорообразующие микроорганизмы</t>
  </si>
  <si>
    <t>Плесневые грибы, дрожжи</t>
  </si>
  <si>
    <t>Количество мезофильных аэробных и факультативно-анаэробных микроорганизмов (КМАФАнМ)</t>
  </si>
  <si>
    <t>На молочнокислые микроорганизмы;</t>
  </si>
  <si>
    <t>БГКП (колиформы)</t>
  </si>
  <si>
    <t>В.cereus</t>
  </si>
  <si>
    <t>S.aureus</t>
  </si>
  <si>
    <t>сюда входит э/эн, амортизация термостата</t>
  </si>
  <si>
    <t>Микроскопический препарат</t>
  </si>
  <si>
    <t>По полной схеме;</t>
  </si>
  <si>
    <t>1000</t>
  </si>
  <si>
    <t>По сокращенной схеме;</t>
  </si>
  <si>
    <t>120</t>
  </si>
  <si>
    <t>На ботулинические токсины и Clostriclium botulinum:</t>
  </si>
  <si>
    <t>С помощью реакции нейтрализации с поливалентной сывороткой;</t>
  </si>
  <si>
    <t>180</t>
  </si>
  <si>
    <t>С помощью реакции нейтрализации с моновалентными сыворотками</t>
  </si>
  <si>
    <t>240</t>
  </si>
  <si>
    <t>На каждый антибиотик</t>
  </si>
  <si>
    <t>300</t>
  </si>
  <si>
    <t>Экспресс-метод определения остаточных количеств антибиотиков в продуктах животноводства (на каждый антибиотик)</t>
  </si>
  <si>
    <t>100</t>
  </si>
  <si>
    <t>Исследования по обоснованию сроков годности</t>
  </si>
  <si>
    <t>Мембранный метод:</t>
  </si>
  <si>
    <t>ОМЧ;</t>
  </si>
  <si>
    <t>10</t>
  </si>
  <si>
    <t>Общие колиформные бактерии, термотолерантные бактерии, включая подготовку фильтров</t>
  </si>
  <si>
    <t>55</t>
  </si>
  <si>
    <t>Титрационный метод:</t>
  </si>
  <si>
    <t>Общие колиформные бактерии, термотолерантные бактерии;</t>
  </si>
  <si>
    <t>35</t>
  </si>
  <si>
    <t>30</t>
  </si>
  <si>
    <t>ЛКП;</t>
  </si>
  <si>
    <t>50</t>
  </si>
  <si>
    <t>‑ Еsherichia coli:</t>
  </si>
  <si>
    <t>совместно с ЛКП</t>
  </si>
  <si>
    <t>16</t>
  </si>
  <si>
    <t>отдельно от ЛКП;</t>
  </si>
  <si>
    <t>‑ энтерококки;</t>
  </si>
  <si>
    <t>‑ стафилококк ауреус;</t>
  </si>
  <si>
    <t>‑ на Pseudomonas aeruginosa</t>
  </si>
  <si>
    <t>- колифаги (без обогащения)</t>
  </si>
  <si>
    <t>- колифаги (с обогащением);</t>
  </si>
  <si>
    <t>- на патогенную флору:</t>
  </si>
  <si>
    <t>на шигеллы</t>
  </si>
  <si>
    <t>на сальмонеллы</t>
  </si>
  <si>
    <t>ОМЧ</t>
  </si>
  <si>
    <t>20</t>
  </si>
  <si>
    <t>БГКП с использованием среды Кода</t>
  </si>
  <si>
    <t>БГКП с использованием других сред</t>
  </si>
  <si>
    <t>Staphylococcus aureus</t>
  </si>
  <si>
    <t>80</t>
  </si>
  <si>
    <t>Условно-патогенную микрофлору, в том числе НГОБ</t>
  </si>
  <si>
    <t>200</t>
  </si>
  <si>
    <t>8.7.</t>
  </si>
  <si>
    <t>9.1.</t>
  </si>
  <si>
    <t>9.2.</t>
  </si>
  <si>
    <t>Salmonella</t>
  </si>
  <si>
    <t>Стрептококки и другие</t>
  </si>
  <si>
    <t>УПМ</t>
  </si>
  <si>
    <t>10.1.</t>
  </si>
  <si>
    <t>Перевязочный материал и инструментарий</t>
  </si>
  <si>
    <t>10.2.</t>
  </si>
  <si>
    <t>Шовный материал</t>
  </si>
  <si>
    <t>70</t>
  </si>
  <si>
    <t>10.3.</t>
  </si>
  <si>
    <t>Смывы на стерильность</t>
  </si>
  <si>
    <t>40</t>
  </si>
  <si>
    <t>1. ОМЧ</t>
  </si>
  <si>
    <t>11.2.</t>
  </si>
  <si>
    <t>2. Пирогенность</t>
  </si>
  <si>
    <t>11.3.</t>
  </si>
  <si>
    <t>3. БГКП</t>
  </si>
  <si>
    <t>25</t>
  </si>
  <si>
    <t>11.4.</t>
  </si>
  <si>
    <t>4. Staphylococcus aureus</t>
  </si>
  <si>
    <t>5. Плесени</t>
  </si>
  <si>
    <t>6. Стерильные аптечные формы</t>
  </si>
  <si>
    <t>7. Синегнойная палочка</t>
  </si>
  <si>
    <t>8. Сальмонеллы</t>
  </si>
  <si>
    <t>45</t>
  </si>
  <si>
    <t>2. БГКП</t>
  </si>
  <si>
    <t>3. Термофильные микроорганизмы</t>
  </si>
  <si>
    <t>4. Энтерококки</t>
  </si>
  <si>
    <t>75</t>
  </si>
  <si>
    <t>5. Cl. Perfringens</t>
  </si>
  <si>
    <t>6. Нитрифицирующие микроорганизмы</t>
  </si>
  <si>
    <t>7. Сальмонеллы</t>
  </si>
  <si>
    <t>2. ЛКП</t>
  </si>
  <si>
    <t>3. Энтерококки</t>
  </si>
  <si>
    <t>4. Сульфитредуцирующие клостридии</t>
  </si>
  <si>
    <t>5. Staphylococcus aureus</t>
  </si>
  <si>
    <t>6. Pseudomonas aeruginosa</t>
  </si>
  <si>
    <t xml:space="preserve">30 </t>
  </si>
  <si>
    <t>123</t>
  </si>
  <si>
    <t>УТВЕРЖДЕНО</t>
  </si>
  <si>
    <t>Приказом ФГУЗ "Центр гигиены</t>
  </si>
  <si>
    <t>и эпидемиологии в РС(Я)"</t>
  </si>
  <si>
    <t>Остаточный (неокислившийся) спирт</t>
  </si>
  <si>
    <t>Обои моющиеся,  линолеумы,  декоративные панели,  плинтусы,  декоративные пленки,  поручни</t>
  </si>
  <si>
    <t>рН</t>
  </si>
  <si>
    <t>Предметы интимной гигиены (салфетки, гигиенические прокладки, вата и др.).</t>
  </si>
  <si>
    <t>Свободные дубильные вещества</t>
  </si>
  <si>
    <t>Определение массовой доли окиси алюминия (трилон Б)</t>
  </si>
  <si>
    <t>Определение свободного хлора</t>
  </si>
  <si>
    <t>Определение общего содержания серной кислоты</t>
  </si>
  <si>
    <t>Определение массовой доли двуокиси циркония (весовой метод)</t>
  </si>
  <si>
    <t>Определение массовой доли нейтральных солей серной кислоты (весовой метод)</t>
  </si>
  <si>
    <t>Термостойкость посуды из фарфора</t>
  </si>
  <si>
    <t>Исследование воздушной среды производственных помещений при помощи анализатор пыли "ИКП-4"</t>
  </si>
  <si>
    <t>298,36</t>
  </si>
  <si>
    <t>Предприятия торговли</t>
  </si>
  <si>
    <t>1.1.1.</t>
  </si>
  <si>
    <t>1.1.2.</t>
  </si>
  <si>
    <t>Хлебзавод</t>
  </si>
  <si>
    <t>6.4.8.</t>
  </si>
  <si>
    <t>Аэроионы</t>
  </si>
  <si>
    <t>6.3.6.</t>
  </si>
  <si>
    <t>Бензоат натрия</t>
  </si>
  <si>
    <t>Бура и борная кислота</t>
  </si>
  <si>
    <t>Уротропин</t>
  </si>
  <si>
    <t>Качество клейковины</t>
  </si>
  <si>
    <t>Число падения</t>
  </si>
  <si>
    <t>Белизна</t>
  </si>
  <si>
    <t>9.2.7.2</t>
  </si>
  <si>
    <t>8.1.1.</t>
  </si>
  <si>
    <t>8.1.2.</t>
  </si>
  <si>
    <t>9.1.1.</t>
  </si>
  <si>
    <t>9.1.2.</t>
  </si>
  <si>
    <t>9.1.5.</t>
  </si>
  <si>
    <t>9.1.6.</t>
  </si>
  <si>
    <t>9.1.7.</t>
  </si>
  <si>
    <t>9.1.8.</t>
  </si>
  <si>
    <t>9.1.9.</t>
  </si>
  <si>
    <t>9.1.19.</t>
  </si>
  <si>
    <t>9.1.20.</t>
  </si>
  <si>
    <t>9.1.21.</t>
  </si>
  <si>
    <t>9.1.22.</t>
  </si>
  <si>
    <t>9.2.1.</t>
  </si>
  <si>
    <t>9.2.2.</t>
  </si>
  <si>
    <t>9.2.3.</t>
  </si>
  <si>
    <t>9.2.4.</t>
  </si>
  <si>
    <t>9.2.5.</t>
  </si>
  <si>
    <t>9.2.7.</t>
  </si>
  <si>
    <t>9.2.9.</t>
  </si>
  <si>
    <t>9.2.13.</t>
  </si>
  <si>
    <t>9.2.14.</t>
  </si>
  <si>
    <t>9.2.15.</t>
  </si>
  <si>
    <t>10. ПАРАЗИТОЛОГИЧЕСКИЕ ИСЛЕДОВАНИЯ</t>
  </si>
  <si>
    <t>10.1.1.</t>
  </si>
  <si>
    <t>10.1.1.1.</t>
  </si>
  <si>
    <t>10.1.1.2.</t>
  </si>
  <si>
    <t>10.1.1.3.</t>
  </si>
  <si>
    <t>10.1.1.4.</t>
  </si>
  <si>
    <t>10.1.2.</t>
  </si>
  <si>
    <t>10.1.2.1.</t>
  </si>
  <si>
    <t>10.1.2.2.</t>
  </si>
  <si>
    <t>10.1.2.3.</t>
  </si>
  <si>
    <t>10.1.3.</t>
  </si>
  <si>
    <t>10.1.4.</t>
  </si>
  <si>
    <t>10.1.5.</t>
  </si>
  <si>
    <t>10.1.6.</t>
  </si>
  <si>
    <t>10.1.6.1</t>
  </si>
  <si>
    <t>10.1.6.2.</t>
  </si>
  <si>
    <t>10.1.6.3.</t>
  </si>
  <si>
    <t>10.1.6.4.</t>
  </si>
  <si>
    <t>10.1.7.</t>
  </si>
  <si>
    <t>10.1.8.</t>
  </si>
  <si>
    <t>10.2.1.</t>
  </si>
  <si>
    <t>10.2.1.1.</t>
  </si>
  <si>
    <t>10.2.1.2.</t>
  </si>
  <si>
    <t>10.2.1.3.</t>
  </si>
  <si>
    <t>10.2.1.4.</t>
  </si>
  <si>
    <t>10.2.1.5.</t>
  </si>
  <si>
    <t>10.2.1.6.</t>
  </si>
  <si>
    <t>10.2.1.7.</t>
  </si>
  <si>
    <t>10.2.2.</t>
  </si>
  <si>
    <t>10.2.3.</t>
  </si>
  <si>
    <t>10.2.3.1.</t>
  </si>
  <si>
    <t>10.2.3.2.</t>
  </si>
  <si>
    <t>10.2.4.</t>
  </si>
  <si>
    <t>10.2.5.</t>
  </si>
  <si>
    <t>10.2.5.1.</t>
  </si>
  <si>
    <t>15,91</t>
  </si>
  <si>
    <t>Цветность (фотометрический)</t>
  </si>
  <si>
    <t>0,25</t>
  </si>
  <si>
    <t>24,86</t>
  </si>
  <si>
    <t>Мутность (фотометрический)</t>
  </si>
  <si>
    <t>0,33</t>
  </si>
  <si>
    <t>32,82</t>
  </si>
  <si>
    <t>Осадок (описательное)</t>
  </si>
  <si>
    <t>Взвешенные вещества</t>
  </si>
  <si>
    <t>Калий, натрий (расчетный)</t>
  </si>
  <si>
    <t>Железо (фотом.)</t>
  </si>
  <si>
    <t>Нитриты (фотом.)</t>
  </si>
  <si>
    <t>Аммиак (фотом.)</t>
  </si>
  <si>
    <t>0,58</t>
  </si>
  <si>
    <t>57,68</t>
  </si>
  <si>
    <t>Нитраты (фотом.)</t>
  </si>
  <si>
    <t>Хлориды (титр.)</t>
  </si>
  <si>
    <t>Сульфаты ( весовой )</t>
  </si>
  <si>
    <t>Фтор (фотом.)</t>
  </si>
  <si>
    <t>Бром (колор.)</t>
  </si>
  <si>
    <t>Полифосфаты (фотом.)</t>
  </si>
  <si>
    <t>Кремний (фотом.)</t>
  </si>
  <si>
    <t>4,225</t>
  </si>
  <si>
    <t>Действительный экстракт (пикнометр)</t>
  </si>
  <si>
    <t>Бензойная кислота</t>
  </si>
  <si>
    <t>Сорбиновая кислота</t>
  </si>
  <si>
    <t>Содействие повышению квалификации врачебного, среднего медицинского и прочего персонала, 1 раб.час</t>
  </si>
  <si>
    <t>Паразитологические исследования биологического материала</t>
  </si>
  <si>
    <t>Исследование фекалий на гельминты, яйца, личинки гельминтов и кишечника простейших</t>
  </si>
  <si>
    <t>Метод визуального осмотра фекалий с последовательным промыванием</t>
  </si>
  <si>
    <t>Симм-триазины: атразин, симазин.</t>
  </si>
  <si>
    <t>3убные щетки.</t>
  </si>
  <si>
    <t>Водорода хлорид</t>
  </si>
  <si>
    <t>Кислота уксусная</t>
  </si>
  <si>
    <t>6.4.14.</t>
  </si>
  <si>
    <t>3.1.16.</t>
  </si>
  <si>
    <t>3.1.16.1.</t>
  </si>
  <si>
    <t>3.1.16.2.</t>
  </si>
  <si>
    <t>3.1.16.3.</t>
  </si>
  <si>
    <t>3.1.16.4.</t>
  </si>
  <si>
    <t>3.1.16.5.</t>
  </si>
  <si>
    <t>3.1.16.6.</t>
  </si>
  <si>
    <t>3.1.16.7.</t>
  </si>
  <si>
    <t>3.1.16.8.</t>
  </si>
  <si>
    <t>3.1.16.9.</t>
  </si>
  <si>
    <t>3.1.16.10.</t>
  </si>
  <si>
    <t>3.1.16.11.</t>
  </si>
  <si>
    <t>3.1.17.</t>
  </si>
  <si>
    <t>3.1.17.1.</t>
  </si>
  <si>
    <t>3.1.17.2.</t>
  </si>
  <si>
    <t>3.1.17.3.</t>
  </si>
  <si>
    <t>3.1.17.4.</t>
  </si>
  <si>
    <t>3.1.17.5.</t>
  </si>
  <si>
    <t>3.1.17.6.</t>
  </si>
  <si>
    <t>3.1.17.7.</t>
  </si>
  <si>
    <t>3.1.18.</t>
  </si>
  <si>
    <t>3.1.18.1.</t>
  </si>
  <si>
    <t>3.1.18.2.</t>
  </si>
  <si>
    <t>3.1.18.3.</t>
  </si>
  <si>
    <t>3.1.18.4.</t>
  </si>
  <si>
    <t>3.1.18.5.</t>
  </si>
  <si>
    <t>3.1.18.6.</t>
  </si>
  <si>
    <t>3.1.18.7.</t>
  </si>
  <si>
    <t>3.1.18.8.</t>
  </si>
  <si>
    <t>3.1.18.9.</t>
  </si>
  <si>
    <t>3.1.18.10.</t>
  </si>
  <si>
    <t>3.1.18.11.</t>
  </si>
  <si>
    <t>3.1.18.12.</t>
  </si>
  <si>
    <t>3.1.18.13.</t>
  </si>
  <si>
    <t>3.1.18.14.</t>
  </si>
  <si>
    <t>3.1.18.15.</t>
  </si>
  <si>
    <t>3.2.1.1.</t>
  </si>
  <si>
    <t>3.2.1.2.</t>
  </si>
  <si>
    <t>3.2.1.3.</t>
  </si>
  <si>
    <t>3.2.1.4.</t>
  </si>
  <si>
    <t>3.2.1.5.</t>
  </si>
  <si>
    <t>3.2.1.6.</t>
  </si>
  <si>
    <t>3.2.1.7.</t>
  </si>
  <si>
    <t>3.2.1.8.</t>
  </si>
  <si>
    <t>3.2.1.9.</t>
  </si>
  <si>
    <t>3.2.1.10.</t>
  </si>
  <si>
    <t>3.2.1.11.</t>
  </si>
  <si>
    <t>3.2.1.12.</t>
  </si>
  <si>
    <t>3.2.1.13.</t>
  </si>
  <si>
    <t>3.2.1.14.</t>
  </si>
  <si>
    <t>3.2.1.15.</t>
  </si>
  <si>
    <t>3.2.1.16.</t>
  </si>
  <si>
    <t>3.2.1.17.</t>
  </si>
  <si>
    <t>3.2.1.18.</t>
  </si>
  <si>
    <t>3.2.1.19.</t>
  </si>
  <si>
    <t>3.2.1.20.</t>
  </si>
  <si>
    <t>3.2.1.21.</t>
  </si>
  <si>
    <t>3.2.1.22.</t>
  </si>
  <si>
    <t>3.2.1.23.</t>
  </si>
  <si>
    <t>3.2.1.24.</t>
  </si>
  <si>
    <t>3.2.1.25.</t>
  </si>
  <si>
    <t>3.2.1.26.</t>
  </si>
  <si>
    <t>3.2.1.27.</t>
  </si>
  <si>
    <t>3.2.1.28.</t>
  </si>
  <si>
    <t>3.2.1.29.</t>
  </si>
  <si>
    <t>3.2.1.30.</t>
  </si>
  <si>
    <t>3.2.1.31.</t>
  </si>
  <si>
    <t>3.2.1.32.</t>
  </si>
  <si>
    <t>3.2.1.33.</t>
  </si>
  <si>
    <t>3.2.1.34.</t>
  </si>
  <si>
    <t>3.2.1.35.</t>
  </si>
  <si>
    <t>3.2.1.36.</t>
  </si>
  <si>
    <t>3.2.1.37.</t>
  </si>
  <si>
    <t>3.2.1.38.</t>
  </si>
  <si>
    <t>3.2.1.39.</t>
  </si>
  <si>
    <t>3.2.1.40.</t>
  </si>
  <si>
    <t>3.2.1.41.</t>
  </si>
  <si>
    <t>3.2.1.42.</t>
  </si>
  <si>
    <t>3.2.1.43.</t>
  </si>
  <si>
    <t>3.2.1.44.</t>
  </si>
  <si>
    <t>3.2.1.45.</t>
  </si>
  <si>
    <t>3.2.1.46.</t>
  </si>
  <si>
    <t>3.2.1.47.</t>
  </si>
  <si>
    <t>3.2.1.48.</t>
  </si>
  <si>
    <t>3.2.1.49.</t>
  </si>
  <si>
    <t>3.2.1.50.</t>
  </si>
  <si>
    <t>3.2.1.51.</t>
  </si>
  <si>
    <t>3.2.1.52.</t>
  </si>
  <si>
    <t>3.2.1.53.</t>
  </si>
  <si>
    <t>3.2.1.54.</t>
  </si>
  <si>
    <t>3.2.1.55.</t>
  </si>
  <si>
    <t>3.2.1.56.</t>
  </si>
  <si>
    <t>3.2.1.57.</t>
  </si>
  <si>
    <t>3.2.1.58.</t>
  </si>
  <si>
    <t>3.2.1.59.</t>
  </si>
  <si>
    <t>3.2.1.60.</t>
  </si>
  <si>
    <t>3.2.1.61.</t>
  </si>
  <si>
    <t>3.2.1.62.</t>
  </si>
  <si>
    <t>3.2.1.63.</t>
  </si>
  <si>
    <t>3.2.1.64.</t>
  </si>
  <si>
    <t>3.2.1.65.</t>
  </si>
  <si>
    <t>3.2.1.66.</t>
  </si>
  <si>
    <t>3.2.1.67.</t>
  </si>
  <si>
    <t>3.2.1.68.</t>
  </si>
  <si>
    <t>3.2.1.69.</t>
  </si>
  <si>
    <t>3.2.1.70.</t>
  </si>
  <si>
    <t>3.2.1.71.</t>
  </si>
  <si>
    <t>3.2.1.72.</t>
  </si>
  <si>
    <t>3.2.1.73.</t>
  </si>
  <si>
    <t>3.2.1.74.</t>
  </si>
  <si>
    <t>3.2.1.75.</t>
  </si>
  <si>
    <t>3.2.1.76.</t>
  </si>
  <si>
    <t>3.2.1.77.</t>
  </si>
  <si>
    <t>3.2.1.78.</t>
  </si>
  <si>
    <t>3.2.1.79.</t>
  </si>
  <si>
    <t>3.2.1.80.</t>
  </si>
  <si>
    <t>Проведение гамма-спектрометрических исследований - УКС "Прогресс", анализатор "МКГБ-01"1 проба</t>
  </si>
  <si>
    <t>Проведение бета-спектрометрических исследований - УКС "Прогресс", анализатор "МКГБ-01"1 проба</t>
  </si>
  <si>
    <t>3.1.7.</t>
  </si>
  <si>
    <t>3.1.13.</t>
  </si>
  <si>
    <t>3.1.14.</t>
  </si>
  <si>
    <t>3.1.15.</t>
  </si>
  <si>
    <t>3.2.2.</t>
  </si>
  <si>
    <t>3.2.3.</t>
  </si>
  <si>
    <t>3.2.4.</t>
  </si>
  <si>
    <t>3.2.5.</t>
  </si>
  <si>
    <t>3.3.1.</t>
  </si>
  <si>
    <t>3.3.2.</t>
  </si>
  <si>
    <t>3.3.5.</t>
  </si>
  <si>
    <t>3.3.6.</t>
  </si>
  <si>
    <t>3.3.8.</t>
  </si>
  <si>
    <t>3.3.11.</t>
  </si>
  <si>
    <t>3.3.13.</t>
  </si>
  <si>
    <t>3.3.14.</t>
  </si>
  <si>
    <t>Определение картофельной палочки</t>
  </si>
  <si>
    <t>Лабораторная выпечка</t>
  </si>
  <si>
    <t>6.2.1.</t>
  </si>
  <si>
    <t>6.2.2.</t>
  </si>
  <si>
    <t>6.2.3.</t>
  </si>
  <si>
    <t>Водопоглощение</t>
  </si>
  <si>
    <t>Свинец и Ртуть в 1 пробе крови</t>
  </si>
  <si>
    <t>Ртуть в крови</t>
  </si>
  <si>
    <t>Свинец в крови</t>
  </si>
  <si>
    <t>Свинец и Ртуть в 1 пробе мочи</t>
  </si>
  <si>
    <t>Моющая способность</t>
  </si>
  <si>
    <t>Массовая доля нерастворимого в воде остатка</t>
  </si>
  <si>
    <t>Растворенный кислород</t>
  </si>
  <si>
    <t>Влага (вес)</t>
  </si>
  <si>
    <t>СПАВ</t>
  </si>
  <si>
    <t>Фосфорнокислые соли</t>
  </si>
  <si>
    <t>Силикат натрия (вес)</t>
  </si>
  <si>
    <t>Силикат натрия (колорит)</t>
  </si>
  <si>
    <t>Обувь (воздушная среда).</t>
  </si>
  <si>
    <t>Хлористый водород</t>
  </si>
  <si>
    <t>Щетинно-щеточные изделия бытового назначения.</t>
  </si>
  <si>
    <t>Вата медицинская.</t>
  </si>
  <si>
    <t>Реакция водной вытяжки</t>
  </si>
  <si>
    <t>Массовая доля сернокислых солей</t>
  </si>
  <si>
    <t>Содержание восстанавливающихся веществ</t>
  </si>
  <si>
    <t>УЧЕНИЧЕСКИЕ ПРИНАДЛЕЖНОСТИ.</t>
  </si>
  <si>
    <t>Тетради школьные и общие.</t>
  </si>
  <si>
    <t>Сумки, чемоданы, портфели, ранцы, папки, изделия мелкой кожгалантереи (обложки для паспортов, студенческих билетов, удостоверений).</t>
  </si>
  <si>
    <t>Газеты и печатные издания.</t>
  </si>
  <si>
    <t>Бижутерия</t>
  </si>
  <si>
    <t>Соли тяжелых металлов (1 металл - 1,2)</t>
  </si>
  <si>
    <t>Натрий (капилл.)</t>
  </si>
  <si>
    <t>Литий (капилл.)</t>
  </si>
  <si>
    <t>Стронций (капилл.)</t>
  </si>
  <si>
    <t>Магний (капилл.)</t>
  </si>
  <si>
    <t>Нитриты (капилл.)</t>
  </si>
  <si>
    <t>Нитраты (капилл.)</t>
  </si>
  <si>
    <t>Хлориды (капилл.)</t>
  </si>
  <si>
    <t>Сульфаты (капилл.)</t>
  </si>
  <si>
    <t>Фосфаты (капилл.)</t>
  </si>
  <si>
    <t>Фториды (капилл.)</t>
  </si>
  <si>
    <t>6.4.10.</t>
  </si>
  <si>
    <t>6.4.11.</t>
  </si>
  <si>
    <t>Коммунальные объекты</t>
  </si>
  <si>
    <t>ЛПУ (поликлиника,больница, КДЛ)</t>
  </si>
  <si>
    <t>ЛПУ (медпункты, стомкабинеты, физиокабинеты, рентген кабинет)</t>
  </si>
  <si>
    <t>Гостиницы</t>
  </si>
  <si>
    <t>Бани, сауны, бассейны, прачечные</t>
  </si>
  <si>
    <t>Вода на холеру:</t>
  </si>
  <si>
    <t>Предприятия  по  производству  товаров детского  ассортимента, в  том  числе  игрушек.</t>
  </si>
  <si>
    <t>Промышленные  предприятия</t>
  </si>
  <si>
    <t>Образовательные  учреждения</t>
  </si>
  <si>
    <t>Лечебно-профилактические  учреждения.</t>
  </si>
  <si>
    <t>Объекты  торговли</t>
  </si>
  <si>
    <t>Объекты  общественного питания</t>
  </si>
  <si>
    <t>Дополнительные  услуги</t>
  </si>
  <si>
    <t>323,21</t>
  </si>
  <si>
    <t>Смывы на свинец</t>
  </si>
  <si>
    <t>3,9</t>
  </si>
  <si>
    <t>387,86</t>
  </si>
  <si>
    <t>Смывы на ртуть</t>
  </si>
  <si>
    <t>4,2</t>
  </si>
  <si>
    <t>417,69</t>
  </si>
  <si>
    <t>Количество клейковины</t>
  </si>
  <si>
    <t>Сахар (титрометрический)</t>
  </si>
  <si>
    <t>Подлинность водок</t>
  </si>
  <si>
    <t>Бензойная кислота (спектрофотометрический метод)</t>
  </si>
  <si>
    <t>Сорбиновая кислота (спектрофотометрический метод)</t>
  </si>
  <si>
    <t>Хлорорганические пестициды</t>
  </si>
  <si>
    <t>Пробная варка</t>
  </si>
  <si>
    <t>Влага</t>
  </si>
  <si>
    <t>Йод (титриметрическим методом)</t>
  </si>
  <si>
    <t>Цвет (описательное)</t>
  </si>
  <si>
    <t>Привкус</t>
  </si>
  <si>
    <t>Гидрокарбонаты (титрим)</t>
  </si>
  <si>
    <t>РН (потенциометрический)</t>
  </si>
  <si>
    <t>Привкус (описательное)</t>
  </si>
  <si>
    <t>Ртуть ИВА</t>
  </si>
  <si>
    <t>Определение сажи</t>
  </si>
  <si>
    <t>Определение фторида водорода</t>
  </si>
  <si>
    <t>Определение стирола</t>
  </si>
  <si>
    <t>увел 25%</t>
  </si>
  <si>
    <t>Определение альфа метилстирола</t>
  </si>
  <si>
    <t>Определение бутанола, бутилацетата, циклогексанона, этилацетата (газохром/метод)</t>
  </si>
  <si>
    <t xml:space="preserve">Производство кондитерских  изделий  с  кремом с  максимальной  производительностью  до 500кг./ сутки. </t>
  </si>
  <si>
    <t>Мясоперерабатывающее  предприятие.</t>
  </si>
  <si>
    <t>Рыбоперерабатывающее  предприятие.</t>
  </si>
  <si>
    <t>Молокоперерабатывающее  предприятие.</t>
  </si>
  <si>
    <t>Продовольственный магазин.</t>
  </si>
  <si>
    <t>Базы, склады.</t>
  </si>
  <si>
    <t>Метиловый спирт</t>
  </si>
  <si>
    <t>Сивушные масла</t>
  </si>
  <si>
    <t>Альдегиды</t>
  </si>
  <si>
    <t>Перегонка спирта - объем 250 мл.</t>
  </si>
  <si>
    <t xml:space="preserve">Исследование на бруцеллез (Хеддльсона, Райта) </t>
  </si>
  <si>
    <t xml:space="preserve">              Всего:</t>
  </si>
  <si>
    <t>Исследование на бруцеллез- проба Кумбса  (Хеддльсона,Райта,Кумбса )</t>
  </si>
  <si>
    <t xml:space="preserve">                                                       Всего:</t>
  </si>
  <si>
    <r>
      <t xml:space="preserve">                                                       </t>
    </r>
    <r>
      <rPr>
        <b/>
        <sz val="10"/>
        <color indexed="8"/>
        <rFont val="Times New Roman"/>
        <family val="1"/>
      </rPr>
      <t>Всего:</t>
    </r>
  </si>
  <si>
    <t>Заполнение форм федерального государственного статистического наблюдения №1-ДОЗ, №2-ДОЗ с бумажного носителя в электронную региональную базу данных: Количество персонала гр. А по НРБ-99,                            с 1 до 10 чел.</t>
  </si>
  <si>
    <t>с 10 до 20 чел.</t>
  </si>
  <si>
    <t>Свыше 20 чел.</t>
  </si>
  <si>
    <t>Оформление протоколов</t>
  </si>
  <si>
    <t>Подготовка радиационно-гигиенического протокола на инструментальные измерения-1 протокол</t>
  </si>
  <si>
    <t>0,66</t>
  </si>
  <si>
    <t>1,525</t>
  </si>
  <si>
    <t>151,66</t>
  </si>
  <si>
    <t>1,4</t>
  </si>
  <si>
    <t>139,23</t>
  </si>
  <si>
    <t>2,185</t>
  </si>
  <si>
    <t>217,29</t>
  </si>
  <si>
    <t>На кишечную группу инфекций</t>
  </si>
  <si>
    <t>Определение плотности потока радона с поверхности почвы   ( 1 измерение)</t>
  </si>
  <si>
    <t>3,5</t>
  </si>
  <si>
    <t>348,07</t>
  </si>
  <si>
    <t>- фенола</t>
  </si>
  <si>
    <t>Подготовка проб к бета-спектрометрии - 1 проба</t>
  </si>
  <si>
    <t>Подготовка проб к альфа, бета-радиометрии - 1 проба</t>
  </si>
  <si>
    <t>Подготовка проб к радиохимическим исследованиям - 1 прба</t>
  </si>
  <si>
    <t>Проведение радиометрических исследований - 1 проба</t>
  </si>
  <si>
    <t>Наименование</t>
  </si>
  <si>
    <t>Заведующий  отдела обеспечения санитарного надзора</t>
  </si>
  <si>
    <t xml:space="preserve">  трихлорэтилен</t>
  </si>
  <si>
    <t xml:space="preserve">  формальдегид</t>
  </si>
  <si>
    <t xml:space="preserve">  уайт-спирит</t>
  </si>
  <si>
    <t xml:space="preserve">  ацетилен</t>
  </si>
  <si>
    <t xml:space="preserve">  аммиак</t>
  </si>
  <si>
    <t xml:space="preserve">  бром</t>
  </si>
  <si>
    <t xml:space="preserve">  бутанол</t>
  </si>
  <si>
    <t xml:space="preserve">  пропанол</t>
  </si>
  <si>
    <t xml:space="preserve">  диэтиловый эфир</t>
  </si>
  <si>
    <t xml:space="preserve">  оксид углерода</t>
  </si>
  <si>
    <t xml:space="preserve">  толуол</t>
  </si>
  <si>
    <t xml:space="preserve">  углеводороды нефти</t>
  </si>
  <si>
    <t xml:space="preserve">  диоксид азота</t>
  </si>
  <si>
    <t>4.18.</t>
  </si>
  <si>
    <t>4.19.</t>
  </si>
  <si>
    <t>4.20.</t>
  </si>
  <si>
    <t>4.21.</t>
  </si>
  <si>
    <t>4.22.</t>
  </si>
  <si>
    <t>4.23.</t>
  </si>
  <si>
    <t>4.24.</t>
  </si>
  <si>
    <t>4.25.</t>
  </si>
  <si>
    <t>4.26.</t>
  </si>
  <si>
    <t>4.27.</t>
  </si>
  <si>
    <t>4.28.</t>
  </si>
  <si>
    <t>4.29.</t>
  </si>
  <si>
    <t>4.30.</t>
  </si>
  <si>
    <t>4.31.</t>
  </si>
  <si>
    <t>ЭКСПРЕСС-МЕТОД</t>
  </si>
  <si>
    <t>Средства для химической завивки волос, краски, лаки.</t>
  </si>
  <si>
    <t>Массовая доля тиогликоловой кислоты</t>
  </si>
  <si>
    <t>Массовая доля двуокиси серы</t>
  </si>
  <si>
    <t>Массовая доля воды и летучих веществ</t>
  </si>
  <si>
    <t>Массовая доля аммиака</t>
  </si>
  <si>
    <t>Массовая доля перекиси водорода</t>
  </si>
  <si>
    <t>3.1.5.27</t>
  </si>
  <si>
    <t>Загрязненность амбарными вредителями</t>
  </si>
  <si>
    <t>Медицинские рентгеновские кабинеты</t>
  </si>
  <si>
    <t>5.3.6.12.</t>
  </si>
  <si>
    <t>5.3.6.13.</t>
  </si>
  <si>
    <t>Радиационный контроль металлолома</t>
  </si>
  <si>
    <t>Радиационный контроль металлолома, 1 измерение</t>
  </si>
  <si>
    <t>Дисбактериоз</t>
  </si>
  <si>
    <t>8,3</t>
  </si>
  <si>
    <t>825,43</t>
  </si>
  <si>
    <t>0,8</t>
  </si>
  <si>
    <t>79,56</t>
  </si>
  <si>
    <t>Детское питание.</t>
  </si>
  <si>
    <t>Сухие вещества ( по рефрактометру)</t>
  </si>
  <si>
    <t>Витамин С (титрометрический)</t>
  </si>
  <si>
    <t>Витамин С (флюориметрический)</t>
  </si>
  <si>
    <t>4,0</t>
  </si>
  <si>
    <t>397,80</t>
  </si>
  <si>
    <t>Диоксид серы</t>
  </si>
  <si>
    <t>Герметичность</t>
  </si>
  <si>
    <t>0,2</t>
  </si>
  <si>
    <t>19,89</t>
  </si>
  <si>
    <t>Жир (по Герберу)</t>
  </si>
  <si>
    <t>1,6</t>
  </si>
  <si>
    <t>159,12</t>
  </si>
  <si>
    <t>Патулин</t>
  </si>
  <si>
    <t>Перекисное число</t>
  </si>
  <si>
    <t>3,6</t>
  </si>
  <si>
    <t>358,02</t>
  </si>
  <si>
    <t>Продукты пищевого консервирования.</t>
  </si>
  <si>
    <t>Массовая доля минеральных примесей</t>
  </si>
  <si>
    <t>2,5</t>
  </si>
  <si>
    <t>248,63</t>
  </si>
  <si>
    <t>Составные части</t>
  </si>
  <si>
    <t>Сухие вещества (по рефрактометру)</t>
  </si>
  <si>
    <t>1,8</t>
  </si>
  <si>
    <t>179,01</t>
  </si>
  <si>
    <t>Поваренная соль.</t>
  </si>
  <si>
    <t>Рыба и рыбные продукты, морские водоросли, травы морские и продукты их переработки.</t>
  </si>
  <si>
    <t>Посторонние примеси, песок</t>
  </si>
  <si>
    <t>3.1.1.</t>
  </si>
  <si>
    <t>Смывы , люди на холеру:</t>
  </si>
  <si>
    <t>Исследование грызунов на листерии:</t>
  </si>
  <si>
    <t xml:space="preserve">                                                        Всего:</t>
  </si>
  <si>
    <t>Идентификация и подтверждение культур:</t>
  </si>
  <si>
    <t>Подготовка и проверка свойств одной культуры для шифрованных бакзадач:</t>
  </si>
  <si>
    <t>Подготовка материала или культур для отправки в вышестоящие учреждения:</t>
  </si>
  <si>
    <t>Степень окислительной порчи (фритюр)</t>
  </si>
  <si>
    <t>Жир по Герберу</t>
  </si>
  <si>
    <t>Жир экстракционно-весовым методом</t>
  </si>
  <si>
    <t>Жир рефрактометрическим методом</t>
  </si>
  <si>
    <t>Стерины (ТСХ)</t>
  </si>
  <si>
    <t>Состав углеводов (ВЭЖХ)</t>
  </si>
  <si>
    <t>Общий сахар, сахароза</t>
  </si>
  <si>
    <t>Подготовка радиационно-гигиенического протокола на лабораторные измерения-1 протокол</t>
  </si>
  <si>
    <t xml:space="preserve"> - объекты 2-й категории сложности: рентгеновская дефектоскопия, радионуклиды в закрытом виде - 1 измерение</t>
  </si>
  <si>
    <t xml:space="preserve"> -  объекты   1-й   категории  сложности:   РИПы  2-4  группы, электронные   микроскопы,   приборы   рентгеноструктурного и рентгеноспектрального анализа, рентгеновские аппараты технологического контроля, транспортные упаковки 1,2,3 категории - 1 измерение</t>
  </si>
  <si>
    <t xml:space="preserve"> - объекты 3-й категории сложности: открытые РВ 2-3 класса, лучевая терапия, радиоизотопная  дефектоскопия, применение ИИИ в геологии.</t>
  </si>
  <si>
    <t>Измерение радиационного гамма-фона, потока бета-частиц в жилых, общественных и производственных зданиях - 1 измерение</t>
  </si>
  <si>
    <t>(с изменениями приказ №141-д от 24.06.08)</t>
  </si>
  <si>
    <t>4.1.1.</t>
  </si>
  <si>
    <t>4.1.2.</t>
  </si>
  <si>
    <t>4.1.3.</t>
  </si>
  <si>
    <t>4.1.4.</t>
  </si>
  <si>
    <t>4.1.5.</t>
  </si>
  <si>
    <t>4.1.6.</t>
  </si>
  <si>
    <t>4.2.1.</t>
  </si>
  <si>
    <t>4.2.2.</t>
  </si>
  <si>
    <t>4.2.3.</t>
  </si>
  <si>
    <t>4.2.4.</t>
  </si>
  <si>
    <t>4.2.5.</t>
  </si>
  <si>
    <t>4.2.6.</t>
  </si>
  <si>
    <t>4.2.7.</t>
  </si>
  <si>
    <t>4.2.8.</t>
  </si>
  <si>
    <t>4.3.1.</t>
  </si>
  <si>
    <t>4.3.2.</t>
  </si>
  <si>
    <t>4.3.3.</t>
  </si>
  <si>
    <t>4.3.4.</t>
  </si>
  <si>
    <t>4.4.1.</t>
  </si>
  <si>
    <t>4.4.2.</t>
  </si>
  <si>
    <t>4.4.3.</t>
  </si>
  <si>
    <t>4.4.4.</t>
  </si>
  <si>
    <t>4.4.5.</t>
  </si>
  <si>
    <t>5.1.1.</t>
  </si>
  <si>
    <t>5.1.2.</t>
  </si>
  <si>
    <t>5.1.3.</t>
  </si>
  <si>
    <t>5.1.4.</t>
  </si>
  <si>
    <t>5.2.1.</t>
  </si>
  <si>
    <t>5.2.2.</t>
  </si>
  <si>
    <t>5.2.3.</t>
  </si>
  <si>
    <t>5.3.1.</t>
  </si>
  <si>
    <t>5.3.4.</t>
  </si>
  <si>
    <t>5.3.5.</t>
  </si>
  <si>
    <t>5.3.6.</t>
  </si>
  <si>
    <t>6.5.1.</t>
  </si>
  <si>
    <t>6.5.2.</t>
  </si>
  <si>
    <t>6.5.3.</t>
  </si>
  <si>
    <t>6.7.1.</t>
  </si>
  <si>
    <t>6.7.2.</t>
  </si>
  <si>
    <t>Запах при 60 С (описательное)</t>
  </si>
  <si>
    <t>Раздаточный материал на электронном носителе (информация об оказываемых услугах)</t>
  </si>
  <si>
    <t>-</t>
  </si>
  <si>
    <t xml:space="preserve">а) вода открытых водоемов и водопроводов </t>
  </si>
  <si>
    <t xml:space="preserve">б) сточные воды </t>
  </si>
  <si>
    <t>Запах при 20 С (описательное)</t>
  </si>
  <si>
    <t>Бензойная кислота (капиллярный электрофорез)</t>
  </si>
  <si>
    <t>Сорбиновая кислота (капиллярный электрофорез)</t>
  </si>
  <si>
    <t>Кофеин (капиллярный электрофорез)</t>
  </si>
  <si>
    <t>Аскорбиновая кислота (капиллярный электрофорез)</t>
  </si>
  <si>
    <t>БПК (тестер)</t>
  </si>
  <si>
    <t>Приложение №9 к приказу</t>
  </si>
  <si>
    <t>Приложение №8 к приказу</t>
  </si>
  <si>
    <t>Приложение №6 к приказу</t>
  </si>
  <si>
    <t>Приложение №5 к приказу</t>
  </si>
  <si>
    <t>Приложение №4 к приказу</t>
  </si>
  <si>
    <t>Приложение №3 к приказу</t>
  </si>
  <si>
    <t>Л.С. Имигеева</t>
  </si>
  <si>
    <t>Т.В.Шепелева</t>
  </si>
  <si>
    <t>3.2.1.100.</t>
  </si>
  <si>
    <t>3.2.1.101.</t>
  </si>
  <si>
    <t>3.2.1.102.</t>
  </si>
  <si>
    <t>Сумма нитритов и нитратов</t>
  </si>
  <si>
    <t>Сумма тригалометанов</t>
  </si>
  <si>
    <t>Ртуть в моче</t>
  </si>
  <si>
    <t xml:space="preserve">Свинец в моче </t>
  </si>
  <si>
    <t>- на шигеллы</t>
  </si>
  <si>
    <t>- сальмонеллы</t>
  </si>
  <si>
    <t>- ЭГЖП и УПМ</t>
  </si>
  <si>
    <t>Проведение радиохимических исследований:</t>
  </si>
  <si>
    <t>Подготовка проб к радиометрии атм. Осадков</t>
  </si>
  <si>
    <t>Работа с документацией</t>
  </si>
  <si>
    <t>Рассмотрение проектов, положений. Инструкции и других документов</t>
  </si>
  <si>
    <t>Рассмотрение инструкций по РБ, мерам предупреждения и ликвидации радиационных аварий</t>
  </si>
  <si>
    <t>Рассмотрение вопросов, связанных с оформлением разрешающих документов</t>
  </si>
  <si>
    <t>Гигиеническая оценка эксплуатации источников ионизирующего излучения</t>
  </si>
  <si>
    <t>6.6.</t>
  </si>
  <si>
    <t>из полимерных материалов (метод налива)</t>
  </si>
  <si>
    <t>из стекла, фарфора (метод налива)</t>
  </si>
  <si>
    <t>Степень компактности</t>
  </si>
  <si>
    <t>0,3</t>
  </si>
  <si>
    <t>29,83</t>
  </si>
  <si>
    <t>Этиловый спирт</t>
  </si>
  <si>
    <t>Качество маска</t>
  </si>
  <si>
    <t>Смывы с поверхностей на яйца гельминтов</t>
  </si>
  <si>
    <t>Токсичные элементы (альдегиды , эфиры, сивушные масла, метиловый спирт) газохроматографическим методом</t>
  </si>
  <si>
    <t>Мед.</t>
  </si>
  <si>
    <t>Сахароза</t>
  </si>
  <si>
    <t>2,0</t>
  </si>
  <si>
    <t>198,90</t>
  </si>
  <si>
    <t>Общий сахар</t>
  </si>
  <si>
    <t>Диастазное число</t>
  </si>
  <si>
    <t>Фальсификация</t>
  </si>
  <si>
    <t>4.16.</t>
  </si>
  <si>
    <t>0,875</t>
  </si>
  <si>
    <t>4.17.</t>
  </si>
  <si>
    <t>Иод (фотом.)</t>
  </si>
  <si>
    <t>Иод (потенц.)</t>
  </si>
  <si>
    <t>Мышьяк (фотом.)</t>
  </si>
  <si>
    <t>Мышьяк (флуорим.)</t>
  </si>
  <si>
    <t>Молибден (фотом.)</t>
  </si>
  <si>
    <t>6.12.</t>
  </si>
  <si>
    <t>№</t>
  </si>
  <si>
    <t>6.1.1.</t>
  </si>
  <si>
    <t>стирол</t>
  </si>
  <si>
    <t>фенол</t>
  </si>
  <si>
    <t>дибутилфталат</t>
  </si>
  <si>
    <t>аммиак</t>
  </si>
  <si>
    <t>эпихлоргидрин</t>
  </si>
  <si>
    <t>298,3ь</t>
  </si>
  <si>
    <t>бензол</t>
  </si>
  <si>
    <t>Подготовка проб</t>
  </si>
  <si>
    <t>Регистрация проб</t>
  </si>
  <si>
    <t>Дибутилфталат</t>
  </si>
  <si>
    <t>Диоктилфталат</t>
  </si>
  <si>
    <t>Бензол</t>
  </si>
  <si>
    <t>298.3С</t>
  </si>
  <si>
    <t>рН - среды</t>
  </si>
  <si>
    <t>Вода открытых водоемов, подземные источники хоз-питьевого водоснабжения (см. полный хим. анализ воды).</t>
  </si>
  <si>
    <t>Вода питьевая, расфасованная в емкости (см. полный хим. анализ вода).</t>
  </si>
  <si>
    <t>Вода дистиллированная.</t>
  </si>
  <si>
    <t>Осадок после выпаривания.</t>
  </si>
  <si>
    <t>Дезинфицирующие средства.</t>
  </si>
  <si>
    <t>Сухое дезсредство (хлорсодержащее)</t>
  </si>
  <si>
    <t>Дезраствор (хлорсодержащее)</t>
  </si>
  <si>
    <t>Сульфохлорантин, виркон, аналит, перекись водорода</t>
  </si>
  <si>
    <t>Приемка, регистрация, расчет, протокол</t>
  </si>
  <si>
    <t>ПОЧВА</t>
  </si>
  <si>
    <t>Свинец на ААС</t>
  </si>
  <si>
    <t>Кадмий на ААС</t>
  </si>
  <si>
    <t>Цинк на ААС</t>
  </si>
  <si>
    <t>Медь на ААС</t>
  </si>
  <si>
    <t>Никель на ААС</t>
  </si>
  <si>
    <t>Мышьяк на ААС</t>
  </si>
  <si>
    <t>Ртуть на ААС</t>
  </si>
  <si>
    <t>Карбонаты</t>
  </si>
  <si>
    <t>Бикарбонаты</t>
  </si>
  <si>
    <t>Фосфор (фотом.)</t>
  </si>
  <si>
    <t>Нитраты (потенц.)</t>
  </si>
  <si>
    <t>Влажность</t>
  </si>
  <si>
    <t>Бассейны.</t>
  </si>
  <si>
    <t>Остаточный бром</t>
  </si>
  <si>
    <t>Остаточный озон</t>
  </si>
  <si>
    <t>Хлориды (титрим.)</t>
  </si>
  <si>
    <t>Оптические (бинокли, зрительные трубы, калейдоскопы, фильмоскопы)</t>
  </si>
  <si>
    <t>Маскарадные костюмы.</t>
  </si>
  <si>
    <t>продолжительность обучения</t>
  </si>
  <si>
    <t>Ст-ть обучения без НДС</t>
  </si>
  <si>
    <t>Ст-ть обучения с НДС</t>
  </si>
  <si>
    <t>3.1.2.</t>
  </si>
  <si>
    <t>Прием, регистрация, расчет, оформление протокола на 1 пробу воды.</t>
  </si>
  <si>
    <t>Фенолы (флуорим.)</t>
  </si>
  <si>
    <t>Утверждено приказом</t>
  </si>
  <si>
    <t>ФГУЗ "Центр гигиены и эпидемиологии в РС(Я)"</t>
  </si>
  <si>
    <t>№ 9 - д от 22.01.08</t>
  </si>
  <si>
    <t>Термическая обработка (определение пероксидазы)</t>
  </si>
  <si>
    <t>Витамин С</t>
  </si>
  <si>
    <t>Влага до постоянного веса</t>
  </si>
  <si>
    <t>Сухие вещества по рефрактометру</t>
  </si>
  <si>
    <t>Яйца куриные и продукты яичные</t>
  </si>
  <si>
    <t>Чистота скорлупы, запах содержимого яиц, плотность и цвет белка</t>
  </si>
  <si>
    <t>Масса яиц</t>
  </si>
  <si>
    <t>Влага и сухое вещество</t>
  </si>
  <si>
    <t>Концентрация водородных ионов рН</t>
  </si>
  <si>
    <t>Растворимость яичных продуктов</t>
  </si>
  <si>
    <t>Свободные жирные кислоты</t>
  </si>
  <si>
    <t>Биологически активные вещества к пище (БАД)</t>
  </si>
  <si>
    <t>Белки</t>
  </si>
  <si>
    <t>ПРОЧИЕ.</t>
  </si>
  <si>
    <t>Оформление ЦР_отокола_</t>
  </si>
  <si>
    <t>0,4</t>
  </si>
  <si>
    <t>39,78</t>
  </si>
  <si>
    <t>Макроскопический анализ</t>
  </si>
  <si>
    <t>Ангидрид сернистый</t>
  </si>
  <si>
    <t>Ацетон</t>
  </si>
  <si>
    <t>3,18</t>
  </si>
  <si>
    <t>316,25</t>
  </si>
  <si>
    <t>1,38</t>
  </si>
  <si>
    <t>6.4.3.</t>
  </si>
  <si>
    <t>Алюминий (ААС)</t>
  </si>
  <si>
    <t>Барий (ААС)</t>
  </si>
  <si>
    <t>Бериллий (ААС)</t>
  </si>
  <si>
    <t>Кадмий (ААС)</t>
  </si>
  <si>
    <t>Кобальт (ААС)</t>
  </si>
  <si>
    <t>Марганец (ААС)</t>
  </si>
  <si>
    <t>294,37</t>
  </si>
  <si>
    <t>380,39</t>
  </si>
  <si>
    <t>5,945</t>
  </si>
  <si>
    <t>5.2.</t>
  </si>
  <si>
    <t>5.3.</t>
  </si>
  <si>
    <t>3.1.8.</t>
  </si>
  <si>
    <t>3.1.9.</t>
  </si>
  <si>
    <t>3.1.10.</t>
  </si>
  <si>
    <t>3.1.11.</t>
  </si>
  <si>
    <t>3.1.12.</t>
  </si>
  <si>
    <t>3.2.1.</t>
  </si>
  <si>
    <t>Вода</t>
  </si>
  <si>
    <t>из полимерных материалов (метод расчета поверхности)</t>
  </si>
  <si>
    <t>из стекла, фарфора (метод расчета поверхности)</t>
  </si>
  <si>
    <t>Санитарно - паразитологические исследования</t>
  </si>
  <si>
    <t>Пищевые продукты</t>
  </si>
  <si>
    <t>Рыба, рыба продукты, ракообразные и моллюски на личинки нематод, цестод, трематод и скребней</t>
  </si>
  <si>
    <t>11.4.7.</t>
  </si>
  <si>
    <t>Обучение специалистов банков по дозиметрическому контролю для выявления денежных знаков, банкнот с радиоактивным загрязнением - 1 человек.</t>
  </si>
  <si>
    <t>Предоставление результатов лабораторных исследований из фонда учреждения (1 протокол)</t>
  </si>
  <si>
    <t>Парикмахерские с косметическим кабинетом;</t>
  </si>
  <si>
    <t>Парикмахерские с косметическим, маникюрным, педикюрным кабинетами;</t>
  </si>
  <si>
    <t>3.1.1.34</t>
  </si>
  <si>
    <t>3.1.1.35</t>
  </si>
  <si>
    <t>3.1.1.36</t>
  </si>
  <si>
    <t>3.1.1.37</t>
  </si>
  <si>
    <t>3.1.1.38</t>
  </si>
  <si>
    <t>Йод на ТА</t>
  </si>
  <si>
    <t>Селен на ТА</t>
  </si>
  <si>
    <t>Мышьяк на ТА</t>
  </si>
  <si>
    <t>Витамин А (ВЭЖХ)</t>
  </si>
  <si>
    <t>Витамин Е (ВЭЖХ)</t>
  </si>
  <si>
    <t>Охратоксин А (ВЭЖХ)</t>
  </si>
  <si>
    <t>3.1.2.24.</t>
  </si>
  <si>
    <t>Белок, жир, плотность, СОМО (Лактан)</t>
  </si>
  <si>
    <t>Альдегиды (коньяк)</t>
  </si>
  <si>
    <t>Высшие спирты (коньяк)</t>
  </si>
  <si>
    <t>Средние эфиры (коньяк)</t>
  </si>
  <si>
    <t>3.1.9.31</t>
  </si>
  <si>
    <t>3.1.9.32</t>
  </si>
  <si>
    <t>3.1.9.33</t>
  </si>
  <si>
    <t>3.1.10.11.</t>
  </si>
  <si>
    <t>3.2.1.98.</t>
  </si>
  <si>
    <t>3.2.1.99.</t>
  </si>
  <si>
    <t>Бенз(а)пирен</t>
  </si>
  <si>
    <t>3.2.9.15.</t>
  </si>
  <si>
    <t>Удельная электрическая проводимость</t>
  </si>
  <si>
    <t>5.1.18.</t>
  </si>
  <si>
    <t>5.1.19.</t>
  </si>
  <si>
    <t>5.1.20.</t>
  </si>
  <si>
    <t>Бенз(а)пирен (ВЭЖХ)</t>
  </si>
  <si>
    <t>5.2.43.</t>
  </si>
  <si>
    <t>9.3.</t>
  </si>
  <si>
    <t>Определение видовой принадлежности членистоногих</t>
  </si>
  <si>
    <t>9.3.1.</t>
  </si>
  <si>
    <t>Определение видовой принадлежности членистоногих  (на 1 экземпляр):</t>
  </si>
  <si>
    <t>9.3.2.</t>
  </si>
  <si>
    <t>Определение видовой принадлежности членистоногих  (на 1 экземпляр) с выездом на объект:</t>
  </si>
  <si>
    <t>Приложение №12 к приказу</t>
  </si>
  <si>
    <t>Приложение №11 к приказу</t>
  </si>
  <si>
    <t>Приложение №10 к приказу</t>
  </si>
  <si>
    <t>Крупность помола</t>
  </si>
  <si>
    <t>333,64</t>
  </si>
  <si>
    <t>3.3.7.</t>
  </si>
  <si>
    <t>- прием, регистрация, выписка</t>
  </si>
  <si>
    <t>1,865</t>
  </si>
  <si>
    <t>185,48</t>
  </si>
  <si>
    <t>На коклюш и паракоклюш</t>
  </si>
  <si>
    <t>Разработка  программ производственного контроля  на объект</t>
  </si>
  <si>
    <t>Парикмахерские.</t>
  </si>
  <si>
    <t>Высшее, средние учебные заведения, учебные заведения начального профессионального образования</t>
  </si>
  <si>
    <t>Начальные,  основные общеобразовательные школы, дошкольные образовательные учреждения, летние оздоровительные  учреждения.</t>
  </si>
  <si>
    <t>Учреждения  дополнительного  образования.</t>
  </si>
  <si>
    <t xml:space="preserve"> Школы-интернаты,  коррекционные  школы.</t>
  </si>
  <si>
    <t>Прочие объекты</t>
  </si>
  <si>
    <t>Сероводород (титр.)</t>
  </si>
  <si>
    <t>Сульфаты ( фотометр. )</t>
  </si>
  <si>
    <t>Железо (+3)(фотом.)</t>
  </si>
  <si>
    <t>Общее железо (фотом.)</t>
  </si>
  <si>
    <t>Общий фосфор (фотометрия)</t>
  </si>
  <si>
    <t>Железо +3 (фотом.)</t>
  </si>
  <si>
    <t>Жир (гравиметр)</t>
  </si>
  <si>
    <t>Глутаровый альдегид (новодез форте, вегасепт форте, стераниос, бриллиат)</t>
  </si>
  <si>
    <t>Септабик +,дезэффект, бриллиат, новодез форте, септустин, альфадез, самаровка</t>
  </si>
  <si>
    <t>Лизафин-специал, лизоформин 3000, аламинол, деконекс</t>
  </si>
  <si>
    <t>Сульфаты (фотометрия)</t>
  </si>
  <si>
    <t>Фтор (потетц.)</t>
  </si>
  <si>
    <t>Железо (фотометр.)</t>
  </si>
  <si>
    <t>6.4.9.</t>
  </si>
  <si>
    <t>3.1.7.17.</t>
  </si>
  <si>
    <t>3.1.7.18.</t>
  </si>
  <si>
    <t>3.1.7.19.</t>
  </si>
  <si>
    <t>3.1.7.20.</t>
  </si>
  <si>
    <t>3.1.7.21.</t>
  </si>
  <si>
    <t>3.1.7.22.</t>
  </si>
  <si>
    <t>3.1.8.1.</t>
  </si>
  <si>
    <t>3.1.8.2.</t>
  </si>
  <si>
    <t>3.1.8.3.</t>
  </si>
  <si>
    <t>3.1.8.4.</t>
  </si>
  <si>
    <t>3.1.8.5.</t>
  </si>
  <si>
    <t>3.1.8.6.</t>
  </si>
  <si>
    <t>3.1.8.7.</t>
  </si>
  <si>
    <t>3.1.8.8.</t>
  </si>
  <si>
    <t>3.1.8.9.</t>
  </si>
  <si>
    <t>3.1.8.10.</t>
  </si>
  <si>
    <t>3.1.8.11.</t>
  </si>
  <si>
    <t>3.1.8.12.</t>
  </si>
  <si>
    <t>3.1.8.13.</t>
  </si>
  <si>
    <t>3.1.8.14.</t>
  </si>
  <si>
    <t>3.1.8.15.</t>
  </si>
  <si>
    <t>3.1.8.16.</t>
  </si>
  <si>
    <t>3.1.8.17.</t>
  </si>
  <si>
    <t>3.1.8.18.</t>
  </si>
  <si>
    <t>3.1.8.20.</t>
  </si>
  <si>
    <t>3.1.8.21.</t>
  </si>
  <si>
    <t>3.1.8.23.</t>
  </si>
  <si>
    <t>3.1.8.24.</t>
  </si>
  <si>
    <t>3.1.9.1.</t>
  </si>
  <si>
    <t>3.1.9.2.</t>
  </si>
  <si>
    <t>3.1.9.3.</t>
  </si>
  <si>
    <t>3.1.9.4.</t>
  </si>
  <si>
    <t>3.1.9.5.</t>
  </si>
  <si>
    <t>3.1.9.6.</t>
  </si>
  <si>
    <t>3.1.9.7.</t>
  </si>
  <si>
    <t>3.1.9.8.</t>
  </si>
  <si>
    <t>3.1.9.9.</t>
  </si>
  <si>
    <t>3.1.9.10.</t>
  </si>
  <si>
    <t>3.1.9.11.</t>
  </si>
  <si>
    <t>3.1.9.12.</t>
  </si>
  <si>
    <t>3.1.9.13.</t>
  </si>
  <si>
    <t>3.1.9.14.</t>
  </si>
  <si>
    <t>3.1.9.15.</t>
  </si>
  <si>
    <t>3.1.9.16.</t>
  </si>
  <si>
    <t>3.1.9.17.</t>
  </si>
  <si>
    <t>3.1.9.18.</t>
  </si>
  <si>
    <t>3.1.9.19</t>
  </si>
  <si>
    <t>3.1.9.20</t>
  </si>
  <si>
    <t>3.1.9.21</t>
  </si>
  <si>
    <t>3.1.9.22</t>
  </si>
  <si>
    <t>3.1.9.23</t>
  </si>
  <si>
    <t>3.1.9.24</t>
  </si>
  <si>
    <t>3.1.9.25</t>
  </si>
  <si>
    <t>3.1.9.26</t>
  </si>
  <si>
    <t>3.1.9.27</t>
  </si>
  <si>
    <t>3.1.9.28</t>
  </si>
  <si>
    <t>3.1.9.29</t>
  </si>
  <si>
    <t>3.1.9.30</t>
  </si>
  <si>
    <t>3.1.10.1.</t>
  </si>
  <si>
    <t>3.1.10.2.</t>
  </si>
  <si>
    <t>3.1.10.3.</t>
  </si>
  <si>
    <t>3.1.10.4.</t>
  </si>
  <si>
    <t>3.1.10.5.</t>
  </si>
  <si>
    <t>3.1.10.6.</t>
  </si>
  <si>
    <t>3.1.10.7.</t>
  </si>
  <si>
    <t>3.1.10.8.</t>
  </si>
  <si>
    <t>3.1.10.8.1.</t>
  </si>
  <si>
    <t>3.1.10.8.2.</t>
  </si>
  <si>
    <t>3.1.10.9.</t>
  </si>
  <si>
    <t>Оксиметифурфурол (количественное определение):</t>
  </si>
  <si>
    <t>3.1.11.1.</t>
  </si>
  <si>
    <t>3.1.11.2.</t>
  </si>
  <si>
    <t>3.1.11.3.</t>
  </si>
  <si>
    <t>3.1.11.4.</t>
  </si>
  <si>
    <t>3.1.11.5.</t>
  </si>
  <si>
    <t>3.1.11.6.</t>
  </si>
  <si>
    <t>3.1.11.7.</t>
  </si>
  <si>
    <t>3.1.11.8.</t>
  </si>
  <si>
    <t>3.1.11.9.</t>
  </si>
  <si>
    <t>3.1.11.10.</t>
  </si>
  <si>
    <t>3.1.11.11.</t>
  </si>
  <si>
    <t>3.1.11.12.</t>
  </si>
  <si>
    <t>3.1.11.13.</t>
  </si>
  <si>
    <t>3.1.11.14.</t>
  </si>
  <si>
    <t>3.1.12.1.</t>
  </si>
  <si>
    <t>3.1.12.2.</t>
  </si>
  <si>
    <t>3.1.12.3.</t>
  </si>
  <si>
    <t>3.1.12.4.</t>
  </si>
  <si>
    <t>3.1.12.5.</t>
  </si>
  <si>
    <t>3.1.12.6.</t>
  </si>
  <si>
    <t>3.1.12.7.</t>
  </si>
  <si>
    <t>3.1.12.8.</t>
  </si>
  <si>
    <t>3.1.12.9.</t>
  </si>
  <si>
    <t>3.1.12.10.</t>
  </si>
  <si>
    <t>3.1.12.11.</t>
  </si>
  <si>
    <t>3.1.12.12.</t>
  </si>
  <si>
    <t>3.1.12.13.</t>
  </si>
  <si>
    <t>3.1.12.14.</t>
  </si>
  <si>
    <t>3.1.12.15.</t>
  </si>
  <si>
    <t>3.1.12.16.</t>
  </si>
  <si>
    <t>3.1.12.17.</t>
  </si>
  <si>
    <t>3.1.13.1.</t>
  </si>
  <si>
    <t>3.1.13.2.</t>
  </si>
  <si>
    <t>3.1.13.3.</t>
  </si>
  <si>
    <t>3.1.13.4.</t>
  </si>
  <si>
    <t>3.1.13.5.</t>
  </si>
  <si>
    <t>3.1.13.6.</t>
  </si>
  <si>
    <t>3.1.13.7.</t>
  </si>
  <si>
    <t>3.1.13.8.</t>
  </si>
  <si>
    <t>3.1.13.9.</t>
  </si>
  <si>
    <t>3.1.13.10.</t>
  </si>
  <si>
    <t>3.1.13.11.</t>
  </si>
  <si>
    <t>3.1.13.12.</t>
  </si>
  <si>
    <t>3.1.14.1.</t>
  </si>
  <si>
    <t>3.1.14.2.</t>
  </si>
  <si>
    <t>3.1.14.3.</t>
  </si>
  <si>
    <t>3.1.14.4.</t>
  </si>
  <si>
    <t>3.1.14.5.</t>
  </si>
  <si>
    <t>3.1.14.6</t>
  </si>
  <si>
    <t>3.1.15.1.</t>
  </si>
  <si>
    <t>3.1.15.2.</t>
  </si>
  <si>
    <t>3.1.15.3.</t>
  </si>
  <si>
    <t>3.1.15.4.</t>
  </si>
  <si>
    <t>3.1.15.5.</t>
  </si>
  <si>
    <t>3.1.15.6.</t>
  </si>
  <si>
    <t>Начальник планово-экономического отдела</t>
  </si>
  <si>
    <t>А.П. Борисова</t>
  </si>
  <si>
    <t>Одно серологическое исследование методом РПГА</t>
  </si>
  <si>
    <t>ФБУЗ "Центр гигиены и эпидемиологии в РС(Я)"</t>
  </si>
  <si>
    <t>ФБУЗ «Центр гигиены и эпидемиологии в Республике Саха (Якутия)»</t>
  </si>
  <si>
    <t>Приложение №7 к приказу</t>
  </si>
  <si>
    <t>10.2.1.8.</t>
  </si>
  <si>
    <t>Исследование фекалий из консерванта методом седиментации</t>
  </si>
  <si>
    <t>3.2.9.16.</t>
  </si>
  <si>
    <t>3.2.9.17.</t>
  </si>
  <si>
    <t>Остаток после прокалывания</t>
  </si>
  <si>
    <t>Вещества восстанавливающие КМnO4</t>
  </si>
  <si>
    <t>Трихлорэтилен, тетрахлорэтилен (ГЖХ)</t>
  </si>
  <si>
    <t>Тетрахлорэтилен  (ГЖХ)</t>
  </si>
  <si>
    <t>Трихлорэтилен (ГЖХ)</t>
  </si>
  <si>
    <t>Хлороформ (ГЖХ)</t>
  </si>
  <si>
    <t>Органические вещества на 11 показателей:бензальдегид, ацетон, бензол, толуол, п-ксилол, м-ксилол, о-ксилол, метанол, стирол, альфа-метилстирол,  гексан, (ГЖХ)</t>
  </si>
  <si>
    <t>Органические вещества на 1 показатель из пункта 3.</t>
  </si>
  <si>
    <t>Органические вещества на 2 показатель из пункта 3.</t>
  </si>
  <si>
    <t>Органические вещества на 3 показатель из пункта 3.</t>
  </si>
  <si>
    <t>Органические вещества на 4 показатель из пункта 3.</t>
  </si>
  <si>
    <t>Органические вещества на 5 показатель из пункта 3.</t>
  </si>
  <si>
    <t>Органические вещества на 6 показатель из пункта 3.</t>
  </si>
  <si>
    <t>Органические вещества на 7 показатель из пункта 3.</t>
  </si>
  <si>
    <t>Органические вещества на 8 показатель из пункта 3.</t>
  </si>
  <si>
    <t>Органические вещества на 9 показатель из пункта 3.</t>
  </si>
  <si>
    <t>Органические вещества на 10 показатель из пункта 3.</t>
  </si>
  <si>
    <t>5.1.21.</t>
  </si>
  <si>
    <t>5.1.22.</t>
  </si>
  <si>
    <t>5.1.23.</t>
  </si>
  <si>
    <t>5.1.24.</t>
  </si>
  <si>
    <t>5.1.25.</t>
  </si>
  <si>
    <t>5.1.26.</t>
  </si>
  <si>
    <t>5.1.27.</t>
  </si>
  <si>
    <t>5.1.28.</t>
  </si>
  <si>
    <t>5.1.29.</t>
  </si>
  <si>
    <t>5.1.30.</t>
  </si>
  <si>
    <t>5.1.31.</t>
  </si>
  <si>
    <t>5.1.32.</t>
  </si>
  <si>
    <t>Углеводороды: Трихлорэтилен, тетрахлорэтилен, хлороформ (ГЖХ)</t>
  </si>
  <si>
    <t>Углеводороды: Трихлорэтилен, тетрахлорэтилен (ГЖХ)</t>
  </si>
  <si>
    <t>Органические вещества на 11 показателей: бензальдегид, ацетон, бензол, толуол, п-ксилол, м-ксилол, о-ксилол, метанол, стирол, альфа-метилстирол,  гексан, (ГЖХ)</t>
  </si>
  <si>
    <t>Бенз(а)пирен (утро, день, вечер)</t>
  </si>
  <si>
    <t>Тиогликолевая кислота</t>
  </si>
  <si>
    <t>5.1.33.</t>
  </si>
  <si>
    <t>5.2.44.</t>
  </si>
  <si>
    <t>5.2.45.</t>
  </si>
  <si>
    <t>5.2.46.</t>
  </si>
  <si>
    <t>5.2.47.</t>
  </si>
  <si>
    <t>5.2.48.</t>
  </si>
  <si>
    <t>5.2.49.</t>
  </si>
  <si>
    <t>5.2.50.</t>
  </si>
  <si>
    <t>5.2.51.</t>
  </si>
  <si>
    <t>5.2.52.</t>
  </si>
  <si>
    <t>5.2.53.</t>
  </si>
  <si>
    <t>5.2.54.</t>
  </si>
  <si>
    <t>5.2.55.</t>
  </si>
  <si>
    <t>5.2.56.</t>
  </si>
  <si>
    <t>5.2.57.</t>
  </si>
  <si>
    <t>5.2.58.</t>
  </si>
  <si>
    <t>5.2.59.</t>
  </si>
  <si>
    <t>Измерение непостоянного уровня шума на 1 рабочем месте</t>
  </si>
  <si>
    <t>12.1</t>
  </si>
  <si>
    <t>12.2</t>
  </si>
  <si>
    <t>12.3</t>
  </si>
  <si>
    <t>12.4</t>
  </si>
  <si>
    <t>12.5</t>
  </si>
  <si>
    <t>12.6</t>
  </si>
  <si>
    <t>12.7</t>
  </si>
  <si>
    <t>12.8</t>
  </si>
  <si>
    <t>12.9</t>
  </si>
  <si>
    <t>12.10</t>
  </si>
  <si>
    <t>12.11</t>
  </si>
  <si>
    <t>12.12</t>
  </si>
  <si>
    <t>12.13</t>
  </si>
  <si>
    <t>12.14</t>
  </si>
  <si>
    <t>12.15</t>
  </si>
  <si>
    <t>12.16</t>
  </si>
  <si>
    <t>12.17</t>
  </si>
  <si>
    <t>12.18</t>
  </si>
  <si>
    <t>12.20</t>
  </si>
  <si>
    <t>Измерение ЭМП (50 Гц) на 1 рабочем месте в трех уровнях</t>
  </si>
  <si>
    <t>Измерение вентиляции (1 измерение)</t>
  </si>
  <si>
    <t>Обследование вентиляционной системы объекта с рассмотрением проекта, расчет:</t>
  </si>
  <si>
    <t>1 группа (более 10 вент.систем)</t>
  </si>
  <si>
    <t>2 группа (6-10)</t>
  </si>
  <si>
    <t>3 группа (1-5)</t>
  </si>
  <si>
    <t>Измерение ПРТО (1 измерение)</t>
  </si>
  <si>
    <t>Приложение №13 к приказу</t>
  </si>
  <si>
    <t>13. Гигиеническое обучение и аттестация декретированного контингента</t>
  </si>
  <si>
    <t>Обучение работников пищеблоков: ДДУ,образовательных учреждений,средних и высших учебных заведений;              ЛПУ-врачи, средний мед.персонал, работники пищеблоков,детских молочных кухнь</t>
  </si>
  <si>
    <t>Обучение  работников младшего медицинский персонал и прочих работников ЛПУ</t>
  </si>
  <si>
    <t>Аттестация медицинских работников ЛПУ</t>
  </si>
  <si>
    <t>Работники впервые устраивающиеся на предприятия  торговли продовольственных товаров, предприятий общественного питания</t>
  </si>
  <si>
    <t>Работники торговли продовольственных товаров, работники общественного питания, включая работников  речного , железнодорожного транспорта занятых в общественном питании (повторное обучение)</t>
  </si>
  <si>
    <t>Подсобные рабочие пищевой промышленности, торговли, общественного питания</t>
  </si>
  <si>
    <t>Работники пищевой  промышленности: рыбной, макаронной,консервной, безакогольной, пивной, ликероводочной; цехов по розливу воды             Работники коммунально бытового обслуживания населения (гостиницы, парикмахерские, бани, химчистки, прачечные,аптечная сеть,бассейны, спортивные и развлекательные учреждения, обслуживание сооружений канализации, водоочистки, водоотведения и т.п.)</t>
  </si>
  <si>
    <t>Работники пищевой промышленности (цеха) по выпуску: хлебопекарной, кондитерской ,молочной,мясной ,колбасной  продукции ;                       работники туристических агенств, руководители туристических групп</t>
  </si>
  <si>
    <t>Обучение (прочих) работников авиатранспорта,железнодорожного, речного транспорта</t>
  </si>
  <si>
    <t>Бортпроводников (стюардессы) местных и международных линий, проводники водного и железнодорожного транспорта</t>
  </si>
  <si>
    <t>Обучение иностранных граждан:работников непродовольственной торговли , коммунально бытового обслуживания населения (бани, сауны, салоны, учреждения нетрадиционной медицины и т.п.)</t>
  </si>
  <si>
    <t xml:space="preserve">Обучение иностранных граждан: работников овощеводства </t>
  </si>
  <si>
    <t>Обучение иностранных граждан:работников общественного питания, продовольственной торговли</t>
  </si>
  <si>
    <t>13.1</t>
  </si>
  <si>
    <t>13.2</t>
  </si>
  <si>
    <t>13.3</t>
  </si>
  <si>
    <t>13.4</t>
  </si>
  <si>
    <t>13.5</t>
  </si>
  <si>
    <t>13.6</t>
  </si>
  <si>
    <t>13.7</t>
  </si>
  <si>
    <t>13.8</t>
  </si>
  <si>
    <t>13.9</t>
  </si>
  <si>
    <t>13.10</t>
  </si>
  <si>
    <t>13.11</t>
  </si>
  <si>
    <t>13.12</t>
  </si>
  <si>
    <t>13.13</t>
  </si>
  <si>
    <t>13.14</t>
  </si>
  <si>
    <t>13.15</t>
  </si>
  <si>
    <t>13.16</t>
  </si>
  <si>
    <t>13.17</t>
  </si>
  <si>
    <t>11.1.3.9.5.</t>
  </si>
  <si>
    <t>11.1.3.9.6.</t>
  </si>
  <si>
    <t>11.1.3.9.7.</t>
  </si>
  <si>
    <t>11.1.3.9.8.</t>
  </si>
  <si>
    <t>11.1.3.9.9.</t>
  </si>
  <si>
    <t>Определение суммарной удельной альфа-, бета-активности радионуклидов в воде</t>
  </si>
  <si>
    <r>
      <t>Определение суммарной удельной альфа-, бета-активности и удельной активности природных радионуклидов (</t>
    </r>
    <r>
      <rPr>
        <vertAlign val="superscript"/>
        <sz val="10"/>
        <rFont val="Times New Roman"/>
        <family val="1"/>
      </rPr>
      <t>226</t>
    </r>
    <r>
      <rPr>
        <sz val="10"/>
        <rFont val="Times New Roman"/>
        <family val="1"/>
      </rPr>
      <t xml:space="preserve">Ra, </t>
    </r>
    <r>
      <rPr>
        <vertAlign val="superscript"/>
        <sz val="10"/>
        <rFont val="Times New Roman"/>
        <family val="1"/>
      </rPr>
      <t>224</t>
    </r>
    <r>
      <rPr>
        <sz val="10"/>
        <rFont val="Times New Roman"/>
        <family val="1"/>
      </rPr>
      <t xml:space="preserve">Ra, </t>
    </r>
    <r>
      <rPr>
        <vertAlign val="superscript"/>
        <sz val="10"/>
        <rFont val="Times New Roman"/>
        <family val="1"/>
      </rPr>
      <t>228</t>
    </r>
    <r>
      <rPr>
        <sz val="10"/>
        <rFont val="Times New Roman"/>
        <family val="1"/>
      </rPr>
      <t xml:space="preserve">Ra, </t>
    </r>
    <r>
      <rPr>
        <vertAlign val="superscript"/>
        <sz val="10"/>
        <rFont val="Times New Roman"/>
        <family val="1"/>
      </rPr>
      <t>210</t>
    </r>
    <r>
      <rPr>
        <sz val="10"/>
        <rFont val="Times New Roman"/>
        <family val="1"/>
      </rPr>
      <t xml:space="preserve">Po, </t>
    </r>
    <r>
      <rPr>
        <vertAlign val="superscript"/>
        <sz val="10"/>
        <rFont val="Times New Roman"/>
        <family val="1"/>
      </rPr>
      <t>210</t>
    </r>
    <r>
      <rPr>
        <sz val="10"/>
        <rFont val="Times New Roman"/>
        <family val="1"/>
      </rPr>
      <t xml:space="preserve">Pb, </t>
    </r>
    <r>
      <rPr>
        <vertAlign val="superscript"/>
        <sz val="10"/>
        <rFont val="Times New Roman"/>
        <family val="1"/>
      </rPr>
      <t>238</t>
    </r>
    <r>
      <rPr>
        <sz val="10"/>
        <rFont val="Times New Roman"/>
        <family val="1"/>
      </rPr>
      <t>U) в воде</t>
    </r>
  </si>
  <si>
    <r>
      <t>Определение суммарной удельной альфа-, бета-активности и удельной активности природных радионуклидов (</t>
    </r>
    <r>
      <rPr>
        <vertAlign val="superscript"/>
        <sz val="10"/>
        <rFont val="Times New Roman"/>
        <family val="1"/>
      </rPr>
      <t>226</t>
    </r>
    <r>
      <rPr>
        <sz val="10"/>
        <rFont val="Times New Roman"/>
        <family val="1"/>
      </rPr>
      <t xml:space="preserve">Ra, </t>
    </r>
    <r>
      <rPr>
        <vertAlign val="superscript"/>
        <sz val="10"/>
        <rFont val="Times New Roman"/>
        <family val="1"/>
      </rPr>
      <t>224</t>
    </r>
    <r>
      <rPr>
        <sz val="10"/>
        <rFont val="Times New Roman"/>
        <family val="1"/>
      </rPr>
      <t xml:space="preserve">Ra, </t>
    </r>
    <r>
      <rPr>
        <vertAlign val="superscript"/>
        <sz val="10"/>
        <rFont val="Times New Roman"/>
        <family val="1"/>
      </rPr>
      <t>228</t>
    </r>
    <r>
      <rPr>
        <sz val="10"/>
        <rFont val="Times New Roman"/>
        <family val="1"/>
      </rPr>
      <t xml:space="preserve">Ra, </t>
    </r>
    <r>
      <rPr>
        <vertAlign val="superscript"/>
        <sz val="10"/>
        <rFont val="Times New Roman"/>
        <family val="1"/>
      </rPr>
      <t>210</t>
    </r>
    <r>
      <rPr>
        <sz val="10"/>
        <rFont val="Times New Roman"/>
        <family val="1"/>
      </rPr>
      <t xml:space="preserve">Po, </t>
    </r>
    <r>
      <rPr>
        <vertAlign val="superscript"/>
        <sz val="10"/>
        <rFont val="Times New Roman"/>
        <family val="1"/>
      </rPr>
      <t>210</t>
    </r>
    <r>
      <rPr>
        <sz val="10"/>
        <rFont val="Times New Roman"/>
        <family val="1"/>
      </rPr>
      <t xml:space="preserve">Pb, </t>
    </r>
    <r>
      <rPr>
        <vertAlign val="superscript"/>
        <sz val="10"/>
        <rFont val="Times New Roman"/>
        <family val="1"/>
      </rPr>
      <t>238</t>
    </r>
    <r>
      <rPr>
        <sz val="10"/>
        <rFont val="Times New Roman"/>
        <family val="1"/>
      </rPr>
      <t xml:space="preserve">U, </t>
    </r>
    <r>
      <rPr>
        <vertAlign val="superscript"/>
        <sz val="10"/>
        <rFont val="Times New Roman"/>
        <family val="1"/>
      </rPr>
      <t>222</t>
    </r>
    <r>
      <rPr>
        <sz val="10"/>
        <rFont val="Times New Roman"/>
        <family val="1"/>
      </rPr>
      <t>Rn) в воде</t>
    </r>
  </si>
  <si>
    <r>
      <t xml:space="preserve">Определение удельной активности </t>
    </r>
    <r>
      <rPr>
        <vertAlign val="superscript"/>
        <sz val="10"/>
        <rFont val="Times New Roman"/>
        <family val="1"/>
      </rPr>
      <t>137</t>
    </r>
    <r>
      <rPr>
        <sz val="10"/>
        <rFont val="Times New Roman"/>
        <family val="1"/>
      </rPr>
      <t xml:space="preserve">Cs и </t>
    </r>
    <r>
      <rPr>
        <vertAlign val="superscript"/>
        <sz val="10"/>
        <rFont val="Times New Roman"/>
        <family val="1"/>
      </rPr>
      <t>90</t>
    </r>
    <r>
      <rPr>
        <sz val="10"/>
        <rFont val="Times New Roman"/>
        <family val="1"/>
      </rPr>
      <t>Sr в воде</t>
    </r>
  </si>
  <si>
    <r>
      <t xml:space="preserve">Определение удельной активности одного радионуклида в пробах воды. Перечень определяемых радионуклидов: </t>
    </r>
    <r>
      <rPr>
        <vertAlign val="superscript"/>
        <sz val="10"/>
        <rFont val="Times New Roman"/>
        <family val="1"/>
      </rPr>
      <t>226</t>
    </r>
    <r>
      <rPr>
        <sz val="10"/>
        <rFont val="Times New Roman"/>
        <family val="1"/>
      </rPr>
      <t xml:space="preserve">Ra, </t>
    </r>
    <r>
      <rPr>
        <vertAlign val="superscript"/>
        <sz val="10"/>
        <rFont val="Times New Roman"/>
        <family val="1"/>
      </rPr>
      <t>224</t>
    </r>
    <r>
      <rPr>
        <sz val="10"/>
        <rFont val="Times New Roman"/>
        <family val="1"/>
      </rPr>
      <t xml:space="preserve">Ra, </t>
    </r>
    <r>
      <rPr>
        <vertAlign val="superscript"/>
        <sz val="10"/>
        <rFont val="Times New Roman"/>
        <family val="1"/>
      </rPr>
      <t>228</t>
    </r>
    <r>
      <rPr>
        <sz val="10"/>
        <rFont val="Times New Roman"/>
        <family val="1"/>
      </rPr>
      <t xml:space="preserve">Ra, </t>
    </r>
    <r>
      <rPr>
        <vertAlign val="superscript"/>
        <sz val="10"/>
        <rFont val="Times New Roman"/>
        <family val="1"/>
      </rPr>
      <t>238</t>
    </r>
    <r>
      <rPr>
        <sz val="10"/>
        <rFont val="Times New Roman"/>
        <family val="1"/>
      </rPr>
      <t xml:space="preserve">U, </t>
    </r>
    <r>
      <rPr>
        <vertAlign val="superscript"/>
        <sz val="10"/>
        <rFont val="Times New Roman"/>
        <family val="1"/>
      </rPr>
      <t>234</t>
    </r>
    <r>
      <rPr>
        <sz val="10"/>
        <rFont val="Times New Roman"/>
        <family val="1"/>
      </rPr>
      <t xml:space="preserve">U, </t>
    </r>
    <r>
      <rPr>
        <vertAlign val="superscript"/>
        <sz val="10"/>
        <rFont val="Times New Roman"/>
        <family val="1"/>
      </rPr>
      <t>210</t>
    </r>
    <r>
      <rPr>
        <sz val="10"/>
        <rFont val="Times New Roman"/>
        <family val="1"/>
      </rPr>
      <t xml:space="preserve">Po, </t>
    </r>
    <r>
      <rPr>
        <vertAlign val="superscript"/>
        <sz val="10"/>
        <rFont val="Times New Roman"/>
        <family val="1"/>
      </rPr>
      <t>210</t>
    </r>
    <r>
      <rPr>
        <sz val="10"/>
        <rFont val="Times New Roman"/>
        <family val="1"/>
      </rPr>
      <t xml:space="preserve">Pb, </t>
    </r>
    <r>
      <rPr>
        <vertAlign val="superscript"/>
        <sz val="10"/>
        <rFont val="Times New Roman"/>
        <family val="1"/>
      </rPr>
      <t>210</t>
    </r>
    <r>
      <rPr>
        <sz val="10"/>
        <rFont val="Times New Roman"/>
        <family val="1"/>
      </rPr>
      <t xml:space="preserve">Bi, </t>
    </r>
    <r>
      <rPr>
        <vertAlign val="superscript"/>
        <sz val="10"/>
        <rFont val="Times New Roman"/>
        <family val="1"/>
      </rPr>
      <t>230</t>
    </r>
    <r>
      <rPr>
        <sz val="10"/>
        <rFont val="Times New Roman"/>
        <family val="1"/>
      </rPr>
      <t xml:space="preserve">Th, </t>
    </r>
    <r>
      <rPr>
        <vertAlign val="superscript"/>
        <sz val="10"/>
        <rFont val="Times New Roman"/>
        <family val="1"/>
      </rPr>
      <t>232</t>
    </r>
    <r>
      <rPr>
        <sz val="10"/>
        <rFont val="Times New Roman"/>
        <family val="1"/>
      </rPr>
      <t xml:space="preserve">Th, </t>
    </r>
    <r>
      <rPr>
        <vertAlign val="superscript"/>
        <sz val="10"/>
        <rFont val="Times New Roman"/>
        <family val="1"/>
      </rPr>
      <t>228</t>
    </r>
    <r>
      <rPr>
        <sz val="10"/>
        <rFont val="Times New Roman"/>
        <family val="1"/>
      </rPr>
      <t xml:space="preserve">Th, </t>
    </r>
    <r>
      <rPr>
        <vertAlign val="superscript"/>
        <sz val="10"/>
        <rFont val="Times New Roman"/>
        <family val="1"/>
      </rPr>
      <t>137</t>
    </r>
    <r>
      <rPr>
        <sz val="10"/>
        <rFont val="Times New Roman"/>
        <family val="1"/>
      </rPr>
      <t xml:space="preserve">Cs, </t>
    </r>
    <r>
      <rPr>
        <vertAlign val="superscript"/>
        <sz val="10"/>
        <rFont val="Times New Roman"/>
        <family val="1"/>
      </rPr>
      <t>90</t>
    </r>
    <r>
      <rPr>
        <sz val="10"/>
        <rFont val="Times New Roman"/>
        <family val="1"/>
      </rPr>
      <t xml:space="preserve">Sr и </t>
    </r>
    <r>
      <rPr>
        <vertAlign val="superscript"/>
        <sz val="10"/>
        <rFont val="Times New Roman"/>
        <family val="1"/>
      </rPr>
      <t>40</t>
    </r>
    <r>
      <rPr>
        <sz val="10"/>
        <rFont val="Times New Roman"/>
        <family val="1"/>
      </rPr>
      <t>K</t>
    </r>
  </si>
  <si>
    <r>
      <t xml:space="preserve">Определение удельной активности </t>
    </r>
    <r>
      <rPr>
        <vertAlign val="superscript"/>
        <sz val="10"/>
        <rFont val="Times New Roman"/>
        <family val="1"/>
      </rPr>
      <t>222</t>
    </r>
    <r>
      <rPr>
        <sz val="10"/>
        <rFont val="Times New Roman"/>
        <family val="1"/>
      </rPr>
      <t>Rn в воде</t>
    </r>
  </si>
  <si>
    <r>
      <t xml:space="preserve">Определение суммарной удельной альфа-, бета-активности радионуклидов и удельной активности </t>
    </r>
    <r>
      <rPr>
        <vertAlign val="superscript"/>
        <sz val="10"/>
        <rFont val="Times New Roman"/>
        <family val="1"/>
      </rPr>
      <t>222</t>
    </r>
    <r>
      <rPr>
        <sz val="10"/>
        <rFont val="Times New Roman"/>
        <family val="1"/>
      </rPr>
      <t>Rn в воде</t>
    </r>
  </si>
  <si>
    <r>
      <t xml:space="preserve">Определение удельной активности </t>
    </r>
    <r>
      <rPr>
        <vertAlign val="superscript"/>
        <sz val="10"/>
        <rFont val="Times New Roman"/>
        <family val="1"/>
      </rPr>
      <t>137</t>
    </r>
    <r>
      <rPr>
        <sz val="10"/>
        <rFont val="Times New Roman"/>
        <family val="1"/>
      </rPr>
      <t xml:space="preserve">Cs и </t>
    </r>
    <r>
      <rPr>
        <vertAlign val="superscript"/>
        <sz val="10"/>
        <rFont val="Times New Roman"/>
        <family val="1"/>
      </rPr>
      <t>90</t>
    </r>
    <r>
      <rPr>
        <sz val="10"/>
        <rFont val="Times New Roman"/>
        <family val="1"/>
      </rPr>
      <t>Sr в пробах пищевых продуктов, почвы, объектов окружающей среды</t>
    </r>
  </si>
  <si>
    <r>
      <t xml:space="preserve">Определение удельной активности </t>
    </r>
    <r>
      <rPr>
        <vertAlign val="superscript"/>
        <sz val="10"/>
        <rFont val="Times New Roman"/>
        <family val="1"/>
      </rPr>
      <t>137</t>
    </r>
    <r>
      <rPr>
        <sz val="10"/>
        <rFont val="Times New Roman"/>
        <family val="1"/>
      </rPr>
      <t xml:space="preserve">Cs или </t>
    </r>
    <r>
      <rPr>
        <vertAlign val="superscript"/>
        <sz val="10"/>
        <rFont val="Times New Roman"/>
        <family val="1"/>
      </rPr>
      <t>90</t>
    </r>
    <r>
      <rPr>
        <sz val="10"/>
        <rFont val="Times New Roman"/>
        <family val="1"/>
      </rPr>
      <t>Sr в пробах пищевых и сельскохозяйственных продуктов, почвы и других объектов внешней среды</t>
    </r>
  </si>
  <si>
    <t>Измерение ЭМП в производственном помещении на 1 рабочем месте(физиокабинет)</t>
  </si>
  <si>
    <t>12.18.1.</t>
  </si>
  <si>
    <t>12.18.2.</t>
  </si>
  <si>
    <t>12.18.3.</t>
  </si>
  <si>
    <t>12.21</t>
  </si>
  <si>
    <t>Проведение бактериологических исследований по контролю паровой стерилизации</t>
  </si>
  <si>
    <t>Проведение бактериологических исследований по контролю воздушной стерилизации</t>
  </si>
  <si>
    <t>Проведение бактериологических исследований по контролю дезинфекционных камер</t>
  </si>
  <si>
    <t>3.1.6.25.</t>
  </si>
  <si>
    <t xml:space="preserve">Оформление медицинской книжки г. Якутск </t>
  </si>
  <si>
    <t>1.1.</t>
  </si>
  <si>
    <t>1.1.3.</t>
  </si>
  <si>
    <t>1.1.4.</t>
  </si>
  <si>
    <t>2.2.3.</t>
  </si>
  <si>
    <t>2.3.</t>
  </si>
  <si>
    <t>При выполнении работ и услуг во внерабочее время, в т.ч. В праздничные и выходные дни, оплата производиться с повышающим коффициентом 2 (два)</t>
  </si>
  <si>
    <t>Оформление заключения на протокол лабораторных исследований в рамках производственного контроля</t>
  </si>
  <si>
    <t>1.2.</t>
  </si>
  <si>
    <t>1.2.1.</t>
  </si>
  <si>
    <t>1.2.2.</t>
  </si>
  <si>
    <t>1.2.3.</t>
  </si>
  <si>
    <t>1.3.</t>
  </si>
  <si>
    <t>1.3.1.</t>
  </si>
  <si>
    <t>1.3.2.</t>
  </si>
  <si>
    <t>1.3.3.</t>
  </si>
  <si>
    <t>1.3.4.</t>
  </si>
  <si>
    <t>1.3.5.</t>
  </si>
  <si>
    <t>1.3.6.</t>
  </si>
  <si>
    <t>1.3.7.</t>
  </si>
  <si>
    <t>1.3.8.</t>
  </si>
  <si>
    <t>1.4.</t>
  </si>
  <si>
    <t>1.4.1.</t>
  </si>
  <si>
    <t>1.4.2.</t>
  </si>
  <si>
    <t>1.4.3.</t>
  </si>
  <si>
    <t>1.4.4.</t>
  </si>
  <si>
    <t>1.4.5.</t>
  </si>
  <si>
    <t>1.4.6.</t>
  </si>
  <si>
    <t>1.4.7.</t>
  </si>
  <si>
    <t>1.4.8.</t>
  </si>
  <si>
    <t>1.4.9.</t>
  </si>
  <si>
    <t>1.4.10.</t>
  </si>
  <si>
    <t>1.4.11.</t>
  </si>
  <si>
    <t>1.4.12.</t>
  </si>
  <si>
    <t>1.4.13.</t>
  </si>
  <si>
    <t>1.4.14.</t>
  </si>
  <si>
    <t>1.5.</t>
  </si>
  <si>
    <t>1.5.1.</t>
  </si>
  <si>
    <t>1.5.2.</t>
  </si>
  <si>
    <t>1.5.3.</t>
  </si>
  <si>
    <t>1.5.4.</t>
  </si>
  <si>
    <t>1.6.</t>
  </si>
  <si>
    <t>1.6.1.</t>
  </si>
  <si>
    <t>1.6.2.</t>
  </si>
  <si>
    <t>1.6.3.</t>
  </si>
  <si>
    <t>1.7.</t>
  </si>
  <si>
    <t>1.7.1.</t>
  </si>
  <si>
    <t>2.1.</t>
  </si>
  <si>
    <t>2.2.</t>
  </si>
  <si>
    <t>2.4.</t>
  </si>
  <si>
    <t>2.5.</t>
  </si>
  <si>
    <t>2.6.</t>
  </si>
  <si>
    <t>2.7.</t>
  </si>
  <si>
    <t>2.2.1.</t>
  </si>
  <si>
    <t>2.2.2.</t>
  </si>
  <si>
    <t>Приложение №1 к приказу</t>
  </si>
  <si>
    <t>Приложение №2 к приказу</t>
  </si>
  <si>
    <t>2. САНИТАРНО-ГИГИЕНИЧЕСКИЕ УСЛУГИ.</t>
  </si>
  <si>
    <t>медкнижки отдельным приложением</t>
  </si>
  <si>
    <t>Бактериологическим методом:</t>
  </si>
  <si>
    <t>Подготовка анализа по классической методике:</t>
  </si>
  <si>
    <t>Цех по производству безалкогольных и алкогольных напитков,  воды,пива.</t>
  </si>
  <si>
    <t>Смывы, продукты, грызуны, сырье, люди на туляремию (с учетом    вскрытия    грызунов, заражения  и  вскрытия  лабораторных животных):</t>
  </si>
  <si>
    <t>Смывы, вода,  на легионеллы:</t>
  </si>
  <si>
    <t>РПГА на иерсиниозы</t>
  </si>
  <si>
    <t>РПГА на туляремию</t>
  </si>
  <si>
    <t>Развернутая пробирочная реакция агглютинации    с одним антигеном на туляремию (РА)</t>
  </si>
  <si>
    <t>Иммуноферментный анализ (ИФА) на лептоспироз</t>
  </si>
  <si>
    <t>Иммуноферментный анализ (ИФА) на иерсиниозы</t>
  </si>
  <si>
    <t>Иммуноферментный анализ (ИФА) на бруцеллез</t>
  </si>
  <si>
    <t>Иммуноферментный анализ (ИФА) на клещевой вирусный энцефалит</t>
  </si>
  <si>
    <t>ИФА в одной планшетке (включая подготовительную и вспомогательную работу) 96 лунок на туляремию</t>
  </si>
  <si>
    <t xml:space="preserve">Диагностика методом ПЦР на ООИ и ПОИ </t>
  </si>
  <si>
    <t>6.5.4.</t>
  </si>
  <si>
    <t>6.6.1.</t>
  </si>
  <si>
    <t>Индекс токсичности  мотодом in vitro с использованием спермы быка в качестве клеточного тест-объекта.</t>
  </si>
  <si>
    <t>Органические вещества на 7 показателей:ацетальдегид, ацетон, метанола, изо пропанола,   н-пропанола, изо-бутанола , н-бутанола (ГЖХ)</t>
  </si>
  <si>
    <t>Органические вещества на 1 показатель из пункта 4.1.30.</t>
  </si>
  <si>
    <t>Органические вещества на 2 показатель из пункта 4.1.30.</t>
  </si>
  <si>
    <t>Органические вещества на 3 показатель из пункта 4.1.30.</t>
  </si>
  <si>
    <t>Органические вещества на 4 показатель из пункта 4.1.30.</t>
  </si>
  <si>
    <t>Органические вещества на 5 показатель из пункта 4.1.30.</t>
  </si>
  <si>
    <t>Органические вещества на 6 показатель из пункта 4.1.30.</t>
  </si>
  <si>
    <t>Органические вещества на 7 показателей: диметилфталат, диметилтерефталат, диэтилфталат, дибутилфталат, бутилбензилфталат, бис(2-этилгексил)фталат и диоктилфталат (ГЖХ)</t>
  </si>
  <si>
    <t>Органические вещества на 1 показатель из пункта 4.1.31.</t>
  </si>
  <si>
    <t>Органические вещества на 2 показатель из пункта 4.1.31.</t>
  </si>
  <si>
    <t>Органические вещества на 3 показатель из пункта 4.1.31.</t>
  </si>
  <si>
    <t>Органические вещества на 4 показатель из пункта 4.1.31.</t>
  </si>
  <si>
    <t>Органические вещества на 5 показатель из пункта 4.1.31.</t>
  </si>
  <si>
    <t>Органические вещества на 6 показатель из пункта 4.1.31.</t>
  </si>
  <si>
    <t>4.1.32.</t>
  </si>
  <si>
    <t>Органические вещества на 9 показателей: гексана, гептана, бензола, толуола, этилбензола, ксилола (смеси изомеров), стирола, альфаметилстирола, бензальдегида (ГЖХ)</t>
  </si>
  <si>
    <t>Органические вещества на 1 показатель из пункта 4.1.32.</t>
  </si>
  <si>
    <t>Органические вещества на 2 показатель из пункта 4.1.32.</t>
  </si>
  <si>
    <t>Органические вещества на 3 показатель из пункта 4.1.32.</t>
  </si>
  <si>
    <t>Органические вещества на 4 показатель из пункта 4.1.32.</t>
  </si>
  <si>
    <t>Органические вещества на 5 показатель из пункта 4.1.32.</t>
  </si>
  <si>
    <t>Органические вещества на 6 показатель из пункта 4.1.32.</t>
  </si>
  <si>
    <t>Органические вещества на 7 показатель из пункта 4.1.32.</t>
  </si>
  <si>
    <t>Органические вещества на 8 показатель из пункта 4.1.32.</t>
  </si>
  <si>
    <t>4.1.33.</t>
  </si>
  <si>
    <t>Определение массовой доли атомно-абсорбционной спектрометрии: цинк, олово</t>
  </si>
  <si>
    <t>4.2.9.</t>
  </si>
  <si>
    <t>4.4.6.</t>
  </si>
  <si>
    <t>4.5.9.</t>
  </si>
  <si>
    <t>4.6.15.</t>
  </si>
  <si>
    <t>4.6.16.</t>
  </si>
  <si>
    <t>4.7.17.</t>
  </si>
  <si>
    <t>4.8.7.</t>
  </si>
  <si>
    <t>4.9.6.</t>
  </si>
  <si>
    <t>Винилацетат (ФЭК)</t>
  </si>
  <si>
    <t>4.11.23.</t>
  </si>
  <si>
    <t>Органические вещества на 8 показателей:ацетальдегид, этилацетата, метилацетата,  метанола, изо пропанола,   н-пропанола, изо-бутанола , н-бутанола (ГЖХ)</t>
  </si>
  <si>
    <t>Органические вещества на 1 показатель из пункта 4.11.23</t>
  </si>
  <si>
    <t>Органические вещества на 2 показатель из пункта 4.11.23</t>
  </si>
  <si>
    <t>Органические вещества на 3 показатель из пункта 4.11.23</t>
  </si>
  <si>
    <t>Органические вещества на 4 показатель из пункта 4.11.23</t>
  </si>
  <si>
    <t>Органические вещества на 5 показатель из пункта 4.11.23</t>
  </si>
  <si>
    <t>Органические вещества на 6 показатель из пункта 4.11.23</t>
  </si>
  <si>
    <t>Органические вещества на 7 показатель из пункта 4.11.23</t>
  </si>
  <si>
    <t>4.11.24.</t>
  </si>
  <si>
    <t>Органические вещества на 1 показатель из пункта 4.11.24.</t>
  </si>
  <si>
    <t>Органические вещества на 2 показатель из пункта 4.11.24.</t>
  </si>
  <si>
    <t>Органические вещества на 3 показатель из пункта 4.11.24.</t>
  </si>
  <si>
    <t>Органические вещества на 4 показатель из пункта 4.11.24.</t>
  </si>
  <si>
    <t>Органические вещества на 5 показатель из пункта 4.11.24.</t>
  </si>
  <si>
    <t>Органические вещества на 6 показатель из пункта 4.11.24.</t>
  </si>
  <si>
    <t>4.11.25.</t>
  </si>
  <si>
    <t>Органические вещества на 1 показатель из пункта 4.11.25.</t>
  </si>
  <si>
    <t>Органические вещества на 2 показатель из пункта 4.11.25.</t>
  </si>
  <si>
    <t>Органические вещества на 3 показатель из пункта 4.11.25.</t>
  </si>
  <si>
    <t>Органические вещества на 4 показатель из пункта 4.11.25.</t>
  </si>
  <si>
    <t>Органические вещества на 5 показатель из пункта 4.11.25.</t>
  </si>
  <si>
    <t>Органические вещества на 6 показатель из пункта 4.11.25.</t>
  </si>
  <si>
    <t>Органические вещества на 7 показатель из пункта 4.11.25.</t>
  </si>
  <si>
    <t>Органические вещества на 8 показатель из пункта 4.11.25.</t>
  </si>
  <si>
    <t>4.12.23.</t>
  </si>
  <si>
    <t>Органические вещества на 2 показателя: гексана, гептана (ГЖХ)</t>
  </si>
  <si>
    <t>Органические вещества на 1 показатель из пункта 4.12.23</t>
  </si>
  <si>
    <t>Органические вещества на 2 показатель из пункта 4.12.23.</t>
  </si>
  <si>
    <t>4.12.24.</t>
  </si>
  <si>
    <t>Органические вещества на 8 показателей: этилацетата, метилацетата, бутилацетата,метанола, изо пропанола,   н-пропанола, изо-бутанола , н-бутанола (ГЖХ)</t>
  </si>
  <si>
    <t>Органические вещества на 1 показатель из пункта 4.12.24.</t>
  </si>
  <si>
    <t>Органические вещества на 2 показатель из пункта 4.12.24.</t>
  </si>
  <si>
    <t>Органические вещества на 3 показатель из пункта 4.12.24.</t>
  </si>
  <si>
    <t>Органические вещества на 4 показатель из пункта 4.12.24.</t>
  </si>
  <si>
    <t>Органические вещества на 5 показатель из пункта 4.12.24.</t>
  </si>
  <si>
    <t>Органические вещества на 6 показатель из пункта 4.12.24.</t>
  </si>
  <si>
    <t>Органические вещества на 7 показатель из пункта 4.12.24.</t>
  </si>
  <si>
    <t>Органические вещества на 9 показателей: бензола, этилбензола, ксилола (смеси изомеров), стирола, альфаметилстирола, бензальдегида, н-пропилбензола, толуола (ГЖХ)</t>
  </si>
  <si>
    <t>Органические вещества на 1 показатель из пункта 4.13.12.</t>
  </si>
  <si>
    <t>Органические вещества на 2 показатель из пункта 4.13.12.</t>
  </si>
  <si>
    <t>Органические вещества на 3 показатель из пункта 4.13.12.</t>
  </si>
  <si>
    <t>Органические вещества на 4 показатель из пункта 4.13.12.</t>
  </si>
  <si>
    <t>Органические вещества на 5 показатель из пункта 4.13.12.</t>
  </si>
  <si>
    <t>Органические вещества на 6 показатель из пункта 4.13.12.</t>
  </si>
  <si>
    <t>Органические вещества на 7 показатель из пункта 4.13.12.</t>
  </si>
  <si>
    <t>Органические вещества на 8 показатель из пункта 4.13.12</t>
  </si>
  <si>
    <t>Органические вещества на 1 показатель из пункта 4.13.13.</t>
  </si>
  <si>
    <t>Органические вещества на 2 показатель из пункта 4.13.13.</t>
  </si>
  <si>
    <t>Органические вещества на 3 показатель из пункта 4.13.13.</t>
  </si>
  <si>
    <t>Органические вещества на 4 показатель из пункта 4.13.13.</t>
  </si>
  <si>
    <t>Органические вещества на 5 показатель из пункта 4.13.13.</t>
  </si>
  <si>
    <t>Органические вещества на 6 показатель из пункта 4.13.13.</t>
  </si>
  <si>
    <t>4.13.14.</t>
  </si>
  <si>
    <t>Органические вещества на 1 показатель из пункта 4.13.14.</t>
  </si>
  <si>
    <t>Органические вещества на 2 показатель из пункта 4.13.14.</t>
  </si>
  <si>
    <t>Органические вещества на 3 показатель из пункта 4.13.14.</t>
  </si>
  <si>
    <t>Органические вещества на 4 показатель из пункта 4.13.14.</t>
  </si>
  <si>
    <t>Органические вещества на 5 показатель из пункта 4.13.14.</t>
  </si>
  <si>
    <t>Органические вещества на 6 показатель из пункта 4.13.14.</t>
  </si>
  <si>
    <t>4.13.15.</t>
  </si>
  <si>
    <t>4.13.16.</t>
  </si>
  <si>
    <t>алюминий (ААС)</t>
  </si>
  <si>
    <t>4.13.17.</t>
  </si>
  <si>
    <t>4.13.18.</t>
  </si>
  <si>
    <t>4.13.19.</t>
  </si>
  <si>
    <t>4.13.20.</t>
  </si>
  <si>
    <t>4.13.21.</t>
  </si>
  <si>
    <t>Серебро  (ААС)</t>
  </si>
  <si>
    <t>4.13.22.</t>
  </si>
  <si>
    <t>4.13.23.</t>
  </si>
  <si>
    <t>4.14.10.</t>
  </si>
  <si>
    <t>4.15.4.</t>
  </si>
  <si>
    <t>4.16.4.</t>
  </si>
  <si>
    <t>4.17.5.</t>
  </si>
  <si>
    <t>4.18.14.</t>
  </si>
  <si>
    <t>4.19.5.</t>
  </si>
  <si>
    <t>4.20.8.</t>
  </si>
  <si>
    <t>4.21.9.</t>
  </si>
  <si>
    <t>4.22.10.</t>
  </si>
  <si>
    <t>4.23.5.</t>
  </si>
  <si>
    <t>4.24.5.</t>
  </si>
  <si>
    <t>4.25.9.</t>
  </si>
  <si>
    <t>4.26.12.</t>
  </si>
  <si>
    <t>4.27.13.</t>
  </si>
  <si>
    <t>4.27.14.</t>
  </si>
  <si>
    <t>Органические вещества на 1 показатель из пункта 4.27.14.</t>
  </si>
  <si>
    <t>Органические вещества на 2 показатель из пункта 4.27.14.</t>
  </si>
  <si>
    <t>Органические вещества на 3 показатель из пункта 4.27.14.</t>
  </si>
  <si>
    <t>Органические вещества на 4 показатель из пункта 4.27.14.</t>
  </si>
  <si>
    <t>Органические вещества на 5 показатель из пункта 4.27.14.</t>
  </si>
  <si>
    <t>Органические вещества на 6 показатель из пункта 4.27.14.</t>
  </si>
  <si>
    <t>4.27.15.</t>
  </si>
  <si>
    <t>4.27.16.</t>
  </si>
  <si>
    <t>4.27.17.</t>
  </si>
  <si>
    <t>Цинк  (ААС)</t>
  </si>
  <si>
    <t>4.27.18</t>
  </si>
  <si>
    <t>4.27.19</t>
  </si>
  <si>
    <t>формальдегид</t>
  </si>
  <si>
    <t>4.27.20.</t>
  </si>
  <si>
    <t>Органические вещества на 1 показатель из пункта 4.27.20.</t>
  </si>
  <si>
    <t>Органические вещества на 2 показатель из пункта 4.27.20.</t>
  </si>
  <si>
    <t>Органические вещества на 3 показатель из пункта 4.27.20.</t>
  </si>
  <si>
    <t>Органические вещества на 4 показатель из пункта 4.27.20.</t>
  </si>
  <si>
    <t>Органические вещества на 5 показатель из пункта 4.27.20.</t>
  </si>
  <si>
    <t>Органические вещества на 6 показатель из пункта 4.27.20.</t>
  </si>
  <si>
    <t>4.28.14.</t>
  </si>
  <si>
    <t>4.29.14.</t>
  </si>
  <si>
    <t>4.30.17.</t>
  </si>
  <si>
    <t>4.30.18.</t>
  </si>
  <si>
    <t>4.30.19.</t>
  </si>
  <si>
    <t>Органические вещества на 1 показатель из пункта 4.30.19.</t>
  </si>
  <si>
    <t>Органические вещества на 2 показатель из пункта 4.30.19.</t>
  </si>
  <si>
    <t>Органические вещества на 3 показатель из пункта 4.30.19.</t>
  </si>
  <si>
    <t>Органические вещества на 4 показатель из пункта 4.30.19.</t>
  </si>
  <si>
    <t>Органические вещества на 5 показатель из пункта 4.30.19.</t>
  </si>
  <si>
    <t>Органические вещества на 6 показатель из пункта 4.30.19.</t>
  </si>
  <si>
    <t>4.30.20.</t>
  </si>
  <si>
    <t>Органические вещества на 2 показателя :ацетальдегид, ацетон (ГЖХ)</t>
  </si>
  <si>
    <t>4.30.21.</t>
  </si>
  <si>
    <t>Органические вещества на 2 показателя: бензола, толуола (ГЖХ)</t>
  </si>
  <si>
    <t>4.30.22.</t>
  </si>
  <si>
    <t>4.30.23.</t>
  </si>
  <si>
    <t>4.30.24.</t>
  </si>
  <si>
    <t>4.30.25.</t>
  </si>
  <si>
    <t>4.30.26.</t>
  </si>
  <si>
    <t>4.30.27.</t>
  </si>
  <si>
    <t>кобальт (ААС)</t>
  </si>
  <si>
    <t>4.30.28.</t>
  </si>
  <si>
    <t>4.30.29.</t>
  </si>
  <si>
    <t>4.30.30</t>
  </si>
  <si>
    <t>4.30.31.</t>
  </si>
  <si>
    <t>4.31.5.</t>
  </si>
  <si>
    <t>Органические вещества на 1 показатель из пункта 4.31.5.</t>
  </si>
  <si>
    <t>Органические вещества на 2 показатель из пункта 4.31.5.</t>
  </si>
  <si>
    <t>Органические вещества на 3 показатель из пункта 4.31.5.</t>
  </si>
  <si>
    <t>Органические вещества на 4 показатель из пункта 4.31.5.</t>
  </si>
  <si>
    <t>Органические вещества на 5 показатель из пункта 4.31.5.</t>
  </si>
  <si>
    <t>Органические вещества на 6 показатель из пункта 4.31.5.</t>
  </si>
  <si>
    <t>4.31.6.</t>
  </si>
  <si>
    <t>Органические вещества на 5 показателей: бензола, ксилола (смеси изомеров), стирола, альфаметилстирола, бензальдегида,  толуола (ГЖХ)</t>
  </si>
  <si>
    <t>Органические вещества на 1 показатель из пункта 4.31.6.</t>
  </si>
  <si>
    <t>Органические вещества на 2 показатель из пункта 4.31.6.</t>
  </si>
  <si>
    <t>Органические вещества на 3 показатель из пункта 4.31.6.</t>
  </si>
  <si>
    <t>Органические вещества на 4 показатель из пункта 4.31.6.</t>
  </si>
  <si>
    <t>4.31.7.</t>
  </si>
  <si>
    <t>Органические вещества на 6 показателей:ацетальдегид,  метанола, изо пропанола,   н-пропанола, изо-бутанола , н-бутанола (ГЖХ)</t>
  </si>
  <si>
    <t>Органические вещества на 1 показатель из пункта 4.31.7.</t>
  </si>
  <si>
    <t>Органические вещества на 2 показатель из пункта 4.31.7.</t>
  </si>
  <si>
    <t>Органические вещества на 3 показатель из пункта 4.31.7.</t>
  </si>
  <si>
    <t>Органические вещества на 4 показатель из пункта 4.31.7.</t>
  </si>
  <si>
    <t>Органические вещества на 5 показатель из пункта 4.31.7.</t>
  </si>
  <si>
    <t>4.31.8.</t>
  </si>
  <si>
    <t>4.31.9.</t>
  </si>
  <si>
    <t>4.31.10.</t>
  </si>
  <si>
    <t>4.31.11.</t>
  </si>
  <si>
    <t>4.31.12.</t>
  </si>
  <si>
    <t>Олово (ААС)</t>
  </si>
  <si>
    <t>4.31.13.</t>
  </si>
  <si>
    <t>4.31.14.</t>
  </si>
  <si>
    <t>4.31.15.</t>
  </si>
  <si>
    <t>4.31.16.</t>
  </si>
  <si>
    <t>4.31.17</t>
  </si>
  <si>
    <t>4.31.18.</t>
  </si>
  <si>
    <t>4.31.19.</t>
  </si>
  <si>
    <t>4.33.6.</t>
  </si>
  <si>
    <t>4.34.5.</t>
  </si>
  <si>
    <t>4.36.5.</t>
  </si>
  <si>
    <t>4.37.5.</t>
  </si>
  <si>
    <t>4.38.12.</t>
  </si>
  <si>
    <t>4.39.4.</t>
  </si>
  <si>
    <t>Органические вещества на 1 показатель из пункта 4.39.4.</t>
  </si>
  <si>
    <t>Органические вещества на 2 показатель из пункта 4.39.4.</t>
  </si>
  <si>
    <t>Органические вещества на 3 показатель из пункта 4.39.4.</t>
  </si>
  <si>
    <t>Органические вещества на 4 показатель из пункта 4.39.4.</t>
  </si>
  <si>
    <t>Органические вещества на 5 показатель из пункта 4.39.4.</t>
  </si>
  <si>
    <t>Органические вещества на 6 показатель из пункта 4.39.4.</t>
  </si>
  <si>
    <t>4.39.5.</t>
  </si>
  <si>
    <t>4.39.6.</t>
  </si>
  <si>
    <t>4.39.7.</t>
  </si>
  <si>
    <t>4.39.8.</t>
  </si>
  <si>
    <t>Органические вещества на 9 показателей: гексан, гептан, бензола, ксилола (смеси изомеров), этилбензола, стирола, альфаметилстирола, бензальдегида,  толуола (ГЖХ)</t>
  </si>
  <si>
    <t>Органические вещества на 1 показатель из пункта 4.39.8.</t>
  </si>
  <si>
    <t>Органические вещества на 2 показатель из пункта 4.39.8.</t>
  </si>
  <si>
    <t>Органические вещества на 3 показатель из пункта 4.39.8.</t>
  </si>
  <si>
    <t>Органические вещества на 4 показатель из пункта 4.39.8.</t>
  </si>
  <si>
    <t>Органические вещества на 5 показатель из пункта 4.39.8.</t>
  </si>
  <si>
    <t>Органические вещества на 6 показатель из пункта 4.39.8.</t>
  </si>
  <si>
    <t>Органические вещества на 7 показатель из пункта 4.39.8.</t>
  </si>
  <si>
    <t>Органические вещества на 8 показатель из пункта 4.39.8.</t>
  </si>
  <si>
    <t>4.39.9.</t>
  </si>
  <si>
    <t>Органические вещества на 1 показатель из пункта 4.39.9.</t>
  </si>
  <si>
    <t>Органические вещества на 2 показатель из пункта 4.39.9.</t>
  </si>
  <si>
    <t>Органические вещества на 3 показатель из пункта 4.39.9.</t>
  </si>
  <si>
    <t>Органические вещества на 4 показатель из пункта 4.39.9.</t>
  </si>
  <si>
    <t>Органические вещества на 5 показатель из пункта 4.39.9.</t>
  </si>
  <si>
    <t>4.40.12.</t>
  </si>
  <si>
    <t>4.41.5.</t>
  </si>
  <si>
    <t>4.42.6.,</t>
  </si>
  <si>
    <t>1.3.9.</t>
  </si>
  <si>
    <t>1.3.10.</t>
  </si>
  <si>
    <t>1.3.11.</t>
  </si>
  <si>
    <t>Цех по производству салатов</t>
  </si>
  <si>
    <t>Цех по производству холодных закусок (роллы/суши и другое)</t>
  </si>
  <si>
    <t>Цех по производству мучных изделий (пицца, пирожки и другое)</t>
  </si>
  <si>
    <t>Углерода оксид, диоксид азота на приборе анализаторе "ЭЛАН"</t>
  </si>
  <si>
    <t>хлористый водород</t>
  </si>
  <si>
    <t>хлор</t>
  </si>
  <si>
    <t>оксид углерода</t>
  </si>
  <si>
    <t>диоксид азота</t>
  </si>
  <si>
    <t>5.3.6.14.</t>
  </si>
  <si>
    <t xml:space="preserve">   формальдегид</t>
  </si>
  <si>
    <t>5.3.6.15.</t>
  </si>
  <si>
    <t xml:space="preserve">   метан</t>
  </si>
  <si>
    <t>3.1.1.39</t>
  </si>
  <si>
    <t>Белок по Къельдалю</t>
  </si>
  <si>
    <t>Жирно-кислотный состав жировой части продукта</t>
  </si>
  <si>
    <t>Группа чистоты молока</t>
  </si>
  <si>
    <t>3.1.2.25</t>
  </si>
  <si>
    <t>Молочная кислота (L –и  D- изомеры молочной кислоты в сухом молоке)</t>
  </si>
  <si>
    <t>3.1.2.26</t>
  </si>
  <si>
    <t>Лактаты  (L –и  D- лактаты в сухом молоке)</t>
  </si>
  <si>
    <t>3.1.2.27</t>
  </si>
  <si>
    <t>Лактоза  и галактоза</t>
  </si>
  <si>
    <t>3.1.2.29</t>
  </si>
  <si>
    <t>Галактоза</t>
  </si>
  <si>
    <t>3.1.2.30</t>
  </si>
  <si>
    <t>Лактоза</t>
  </si>
  <si>
    <t>3.1.2.31</t>
  </si>
  <si>
    <t>Сахароза  и глюкоза</t>
  </si>
  <si>
    <t>3.1.2.32</t>
  </si>
  <si>
    <t>3.1.2.33</t>
  </si>
  <si>
    <t>Глюкоза</t>
  </si>
  <si>
    <t>3.1.2.34</t>
  </si>
  <si>
    <t>Крахмал (йодометрический метод)</t>
  </si>
  <si>
    <t>Масса нетто упаковочной единицы</t>
  </si>
  <si>
    <t>Перекисное число жира мясопродуктов</t>
  </si>
  <si>
    <t>3.1.3.13</t>
  </si>
  <si>
    <t>Длина и масса рыбы</t>
  </si>
  <si>
    <t>Жир  экстракционно-весовым методом</t>
  </si>
  <si>
    <t>Азот</t>
  </si>
  <si>
    <t>3.1.4.18</t>
  </si>
  <si>
    <t>3.1.4.19</t>
  </si>
  <si>
    <t>3.1.4.20</t>
  </si>
  <si>
    <t>Масса глазури</t>
  </si>
  <si>
    <t>31.4.20</t>
  </si>
  <si>
    <t>Массовая доля начинки</t>
  </si>
  <si>
    <t>3.1.5.28</t>
  </si>
  <si>
    <t>3.1.6.26</t>
  </si>
  <si>
    <t>3.1.6.27</t>
  </si>
  <si>
    <t>3.1.6.28</t>
  </si>
  <si>
    <t>Примеси растительного происхождения</t>
  </si>
  <si>
    <t>Фосфорсодержащие вещества</t>
  </si>
  <si>
    <t>Жирно-кислотный состав</t>
  </si>
  <si>
    <t>3.1.7.23</t>
  </si>
  <si>
    <r>
      <t xml:space="preserve">Углекислота  </t>
    </r>
    <r>
      <rPr>
        <b/>
        <sz val="10"/>
        <rFont val="Times New Roman"/>
        <family val="1"/>
      </rPr>
      <t>(двуокись унлерода)</t>
    </r>
  </si>
  <si>
    <t>Инвертный сахар</t>
  </si>
  <si>
    <t>3.1.8.25.</t>
  </si>
  <si>
    <t>3.1.8.26.</t>
  </si>
  <si>
    <t>3.1.8.27.</t>
  </si>
  <si>
    <t>3.1.8.28.</t>
  </si>
  <si>
    <t>3.1.8.29.</t>
  </si>
  <si>
    <t>3.1.8.30.</t>
  </si>
  <si>
    <t>Органические кислоты (щавелевая, муравьиная, винная, янтарная, молочная, сорбиновая, яблочная, лимонная, бензойная) (капиллярный электрофорез)</t>
  </si>
  <si>
    <t>в том числе:</t>
  </si>
  <si>
    <t>на 1 показатель вышеперечисленных кислот</t>
  </si>
  <si>
    <t>на 2 показателя</t>
  </si>
  <si>
    <t>на 3 показателя</t>
  </si>
  <si>
    <t>на 4 показателя</t>
  </si>
  <si>
    <t>на 5 показателей</t>
  </si>
  <si>
    <t>на 6 показателей</t>
  </si>
  <si>
    <t>на 7 показателей</t>
  </si>
  <si>
    <t>на 8 показателей</t>
  </si>
  <si>
    <t>на 9 показателей</t>
  </si>
  <si>
    <t>3.1.8.31.</t>
  </si>
  <si>
    <t>Катионы: калий, натрий, магний, кальций (капиллярный электрофорез)</t>
  </si>
  <si>
    <t>3.1.8.32.</t>
  </si>
  <si>
    <t>Сахарин   (капиллярный электрофорез)</t>
  </si>
  <si>
    <t>3.1.8.33.</t>
  </si>
  <si>
    <t>Ацесульфам    (капиллярный электрофорез)</t>
  </si>
  <si>
    <t>3.1.8.34.</t>
  </si>
  <si>
    <t>Герметичность тары (металлической)</t>
  </si>
  <si>
    <t>3.1.9.34</t>
  </si>
  <si>
    <t>3.1.9.35</t>
  </si>
  <si>
    <t>3.1.9.36</t>
  </si>
  <si>
    <t>3.1.9.37</t>
  </si>
  <si>
    <t>Сульфаты (комплексонометрический)</t>
  </si>
  <si>
    <t>Иод (ИВА)</t>
  </si>
  <si>
    <t>Формальдегид (фотом.)</t>
  </si>
  <si>
    <r>
      <t xml:space="preserve">Хлорорганические пестициды (алдрин,  гептахлор, а,  </t>
    </r>
    <r>
      <rPr>
        <sz val="10"/>
        <rFont val="Arial Cyr"/>
        <family val="0"/>
      </rPr>
      <t>β</t>
    </r>
    <r>
      <rPr>
        <sz val="10"/>
        <rFont val="Times New Roman"/>
        <family val="1"/>
      </rPr>
      <t>, у -гексахлоран, ДДТ, ДДЕ, ДДД, гексахлорбензол)</t>
    </r>
  </si>
  <si>
    <t>ЛГС (Дихлорметан; 1,1-Дихлорэтилен; 1,2-Дихлорэтан;Тетрахлорэтилен; Трихлорэтилен) ГХ методом</t>
  </si>
  <si>
    <t>Бис (2-этилгексил)фталат (ГХ)</t>
  </si>
  <si>
    <t>Диметилфталат, диметилтерефталат, диэтилфталат, дибутилфталат, бутилбензилфталат, диоктилфталат, Бис (2-этилгексил)фталат (ГХ) в водных вытяжках ГХ методом</t>
  </si>
  <si>
    <t>Полихлорированные бифенилы в воде (ПХБ-1, ПХБ-11, ПХБ-28, ПХБ-101, ПХБ-118, ПХБ-126, ПХБ-138, ПХБ-180) ГХ методом</t>
  </si>
  <si>
    <t>3.2.1.103.</t>
  </si>
  <si>
    <t>3.2.1.104.</t>
  </si>
  <si>
    <t>3.2.1.105.</t>
  </si>
  <si>
    <t>3.2.1.106.</t>
  </si>
  <si>
    <t>3.2.1.107.</t>
  </si>
  <si>
    <t>3.2.1.108.</t>
  </si>
  <si>
    <t xml:space="preserve">Вода сточная </t>
  </si>
  <si>
    <t>Хром 3+ на ААС</t>
  </si>
  <si>
    <t>Кобальт ААС</t>
  </si>
  <si>
    <t>3.3.31.</t>
  </si>
  <si>
    <t>3.3.32.</t>
  </si>
  <si>
    <t>Общежития, библиотеки, музеи,офисы</t>
  </si>
  <si>
    <t>1.4.15.</t>
  </si>
  <si>
    <t>Салон красоты (кабинеты педикюра-маникюра, кабинета маникюра (или педикбра), кабинеты косметики и косметологии</t>
  </si>
  <si>
    <t>1.3.12.</t>
  </si>
  <si>
    <t>Пункт доочистки и розлива воды</t>
  </si>
  <si>
    <t>1.4.16.</t>
  </si>
  <si>
    <t>Канализационная очистная станция (КОС)</t>
  </si>
  <si>
    <t>1.3.13.</t>
  </si>
  <si>
    <t>Производственное предприятие, сосотоящее из нескольких цехов (от 2 до 5 цехов)</t>
  </si>
  <si>
    <t>Работники торговли  промышленных товаров,           водителей и кондукторов занятых перевозкой людей,  перевозкой продуктов питания</t>
  </si>
  <si>
    <t>1.4.17.</t>
  </si>
  <si>
    <t>Фильтровальная насосная станция (ФНС) для водоснабжения населения</t>
  </si>
  <si>
    <t>1.7.2.</t>
  </si>
  <si>
    <t>1.7.3.</t>
  </si>
  <si>
    <t>Гаражи, паркинги (открытые, закрытые, подземные, наземные)</t>
  </si>
  <si>
    <t>Авторемонтные мастерские</t>
  </si>
  <si>
    <t>с выделением возбудителя</t>
  </si>
  <si>
    <t>Санитарно-эпидемиологическая экспертиза объекта</t>
  </si>
  <si>
    <t>2.8.</t>
  </si>
  <si>
    <t>Объекты по производству пищевых продуктов</t>
  </si>
  <si>
    <t>1.4.18.</t>
  </si>
  <si>
    <t>Нецентрализованные источники водоснабжения-подземные водные объекты (скважина), поверхностные водные объекты (открытые водные объекты-река, озеро и т.п.)</t>
  </si>
  <si>
    <t>1.4.19.</t>
  </si>
  <si>
    <t>Котельная (по виду топлива: твердотопливная, жидкотопливная, газовая, смешанная; по виду котельной: крышные, встроенные, модульные, отдельностоящие, водогрейные, паровые, пристроенные, встроенные)</t>
  </si>
  <si>
    <t>Контроль качества питательных сред, в т.ч. на холеру (количественный метод)</t>
  </si>
  <si>
    <t>Полифосфаты</t>
  </si>
  <si>
    <t>Крахмал (поляриметрический метод)</t>
  </si>
  <si>
    <t>3.1.3.18.</t>
  </si>
  <si>
    <t>3.1.3.19</t>
  </si>
  <si>
    <t>3.1.3.20</t>
  </si>
  <si>
    <t>3.1.3.21</t>
  </si>
  <si>
    <t>3.1.2.28</t>
  </si>
  <si>
    <t>Почва, песок, твердые бытовые отходы на определение яиц и личинок гельминтов по методу Романенко и соавторов</t>
  </si>
  <si>
    <t>Натрий хлористый  (поваренная соль)</t>
  </si>
  <si>
    <t>Приведенный экстракт по рефрактометру (для ликероводочных изделий)</t>
  </si>
  <si>
    <t xml:space="preserve">а)  выявление антигенов Гепатита В (НВsAg) с подтверждением           б)  Гепатит С (анти HCV) с подтверждением
в)  Гепатит Д (анти  HДV)
</t>
  </si>
  <si>
    <t>на анализ</t>
  </si>
  <si>
    <t>прием, регистрация, выписка результата</t>
  </si>
  <si>
    <t>8.1.3.</t>
  </si>
  <si>
    <t>Гепатит А (фекалий-антиген)</t>
  </si>
  <si>
    <t xml:space="preserve"> Гепатит А (сыворотка -антитела IgM)</t>
  </si>
  <si>
    <t>8.1.4.</t>
  </si>
  <si>
    <t xml:space="preserve"> Гепатит А (сыворотка -антитела IgG)</t>
  </si>
  <si>
    <r>
      <t xml:space="preserve">Ротовирусы: ИФА </t>
    </r>
    <r>
      <rPr>
        <sz val="10"/>
        <color indexed="8"/>
        <rFont val="Times New Roman"/>
        <family val="1"/>
      </rPr>
      <t>(фекалий)</t>
    </r>
  </si>
  <si>
    <t>Краснуха, корь, паротит (диагностика- антитела IgM, IgG)</t>
  </si>
  <si>
    <t>Краснуха, корь, паротит (антитела- иммунитет)</t>
  </si>
  <si>
    <t>Цитомегаловирус (антитела IgM)</t>
  </si>
  <si>
    <t xml:space="preserve">Цитомегаловирус </t>
  </si>
  <si>
    <t>8.5.1.</t>
  </si>
  <si>
    <t>8.5.2.</t>
  </si>
  <si>
    <t>Цитомегаловирус (антитела IgG)</t>
  </si>
  <si>
    <t>8.6.1.</t>
  </si>
  <si>
    <t>Герпес (антитела IgM)</t>
  </si>
  <si>
    <t>8.6.2.</t>
  </si>
  <si>
    <t>Герпес (антитела IgG)</t>
  </si>
  <si>
    <t>Хладимиоз: ИФА</t>
  </si>
  <si>
    <t>8.7.1.</t>
  </si>
  <si>
    <t>Хламидии трахоматис  (антитела IgM)</t>
  </si>
  <si>
    <t>8.7.2.</t>
  </si>
  <si>
    <t>Хламидии трахоматис  (антитела IgG)</t>
  </si>
  <si>
    <t>8.7.3.</t>
  </si>
  <si>
    <t>Хламидии пневмония  (антитела IgM)</t>
  </si>
  <si>
    <t>8.7.4.</t>
  </si>
  <si>
    <t>Хламидии пневмония  (антитела IgG)</t>
  </si>
  <si>
    <t>Микоплазмоз: ИФА</t>
  </si>
  <si>
    <t>Микоплазма хоминис  (антитела IgM)</t>
  </si>
  <si>
    <t>8.8.1.</t>
  </si>
  <si>
    <t>8.8.2.</t>
  </si>
  <si>
    <t>8.8.3.</t>
  </si>
  <si>
    <t>8.8.4.</t>
  </si>
  <si>
    <t>Микоплазма хоминис  (антитела IgG)</t>
  </si>
  <si>
    <t>Микоплазма пневмония  (антитела IgM)</t>
  </si>
  <si>
    <t>Микоплазма пневмония  (антитела IgG)</t>
  </si>
  <si>
    <t>8.9.1.</t>
  </si>
  <si>
    <t>8.9.2.</t>
  </si>
  <si>
    <t>Уреаплазмоз: ИФА</t>
  </si>
  <si>
    <t>Уреаплазма уреалитикум  (антитела IgM)</t>
  </si>
  <si>
    <t>Уреаплазма уреалитикум (антитела IgG)</t>
  </si>
  <si>
    <t>Диагностика гриппа и других ОРЗ:</t>
  </si>
  <si>
    <t>8.10.1.</t>
  </si>
  <si>
    <t>МФА:</t>
  </si>
  <si>
    <t>8.10.1.1.</t>
  </si>
  <si>
    <t>носоглоточные смывы (7 антигенов)</t>
  </si>
  <si>
    <t>8.10.1.2.</t>
  </si>
  <si>
    <t>8.10.1.3.</t>
  </si>
  <si>
    <t>8.10.2.</t>
  </si>
  <si>
    <t>РТГА парные сыворотки</t>
  </si>
  <si>
    <t>8.10.3.</t>
  </si>
  <si>
    <t>ПЦР грипп А</t>
  </si>
  <si>
    <t>8.10.3.1.</t>
  </si>
  <si>
    <t>ПЦР грипп В</t>
  </si>
  <si>
    <t>8.11.1.</t>
  </si>
  <si>
    <t>8.11.2.</t>
  </si>
  <si>
    <t>8.12.1.</t>
  </si>
  <si>
    <t>8.12.2.</t>
  </si>
  <si>
    <t>8.12.3.</t>
  </si>
  <si>
    <t>8.12.4.</t>
  </si>
  <si>
    <t>8.12.5.</t>
  </si>
  <si>
    <r>
      <rPr>
        <b/>
        <sz val="10"/>
        <rFont val="Times New Roman"/>
        <family val="1"/>
      </rPr>
      <t>Реакция нейтрализации на полиомиелит и другие энтеровирусы</t>
    </r>
    <r>
      <rPr>
        <sz val="10"/>
        <rFont val="Times New Roman"/>
        <family val="1"/>
      </rPr>
      <t xml:space="preserve"> (1 материал с одним типом)</t>
    </r>
  </si>
  <si>
    <t>8.12.6.</t>
  </si>
  <si>
    <t>8.12.7.</t>
  </si>
  <si>
    <t>8.12.8.</t>
  </si>
  <si>
    <t>8.12.9.</t>
  </si>
  <si>
    <t>8.12.10.</t>
  </si>
  <si>
    <t>8.12.11.</t>
  </si>
  <si>
    <t>8.12.12.</t>
  </si>
  <si>
    <t>8.12.13.</t>
  </si>
  <si>
    <t>8.12.14.</t>
  </si>
  <si>
    <t>8.12.15.</t>
  </si>
  <si>
    <t>8.12.16.</t>
  </si>
  <si>
    <t>8.12.17.</t>
  </si>
  <si>
    <t>8.12.18.</t>
  </si>
  <si>
    <t>8.12.19.</t>
  </si>
  <si>
    <t>8.12.20.</t>
  </si>
  <si>
    <t>8.12.21.</t>
  </si>
  <si>
    <t>8.12.22.</t>
  </si>
  <si>
    <t>8.12.23.</t>
  </si>
  <si>
    <t>8.12.24.</t>
  </si>
  <si>
    <t>8.12.25.</t>
  </si>
  <si>
    <t>8.12.26.</t>
  </si>
  <si>
    <t>РНК Гепатит А</t>
  </si>
  <si>
    <t>ДНК Гепатит В</t>
  </si>
  <si>
    <t>РНК Гепатит С</t>
  </si>
  <si>
    <t>РНК Гепатит Д</t>
  </si>
  <si>
    <t xml:space="preserve">ДНК  Вирус Эпштейна Барра  </t>
  </si>
  <si>
    <t>ДНК Герпес 1,2 типа</t>
  </si>
  <si>
    <t>ДНК  Варицелла зостер-герпес 3 типа</t>
  </si>
  <si>
    <t xml:space="preserve">ДНК  Цитомегаловирус </t>
  </si>
  <si>
    <t xml:space="preserve">РНК  Энтеровирусы </t>
  </si>
  <si>
    <t xml:space="preserve">РНК  Ротавирусы </t>
  </si>
  <si>
    <t xml:space="preserve">РНК  Норовирусы </t>
  </si>
  <si>
    <t xml:space="preserve">РНК  Астровирусы </t>
  </si>
  <si>
    <t xml:space="preserve">ДНК  Аденовирусы </t>
  </si>
  <si>
    <t xml:space="preserve">ДНК  Хламидии пневмония </t>
  </si>
  <si>
    <t xml:space="preserve">ДНК  Микоплазма пневмония  </t>
  </si>
  <si>
    <t xml:space="preserve">ДНК  Хламидии трахоматис </t>
  </si>
  <si>
    <t xml:space="preserve">ДНК  Гарднерелла вагиналис </t>
  </si>
  <si>
    <t xml:space="preserve">ДНК  Уреаплазма </t>
  </si>
  <si>
    <t xml:space="preserve">ДНК  Микоплазма хоминис </t>
  </si>
  <si>
    <t>ДНК  Микоплазма гениталиум</t>
  </si>
  <si>
    <t xml:space="preserve">РНК  Коронавирус </t>
  </si>
  <si>
    <t xml:space="preserve">ДНК  Папиллома вирус  тип 16 </t>
  </si>
  <si>
    <t xml:space="preserve">ДНК  Папиллома вирус  тип 18  </t>
  </si>
  <si>
    <t>ДНК  Кандида альбиканс</t>
  </si>
  <si>
    <t>6.1.2.</t>
  </si>
  <si>
    <t>Прием, регистрация</t>
  </si>
  <si>
    <t>6.1.3.</t>
  </si>
  <si>
    <t>Оформление хода исследования и протокола</t>
  </si>
  <si>
    <t>6.1.4.</t>
  </si>
  <si>
    <t>Приготовление питательной среды на одно исследование</t>
  </si>
  <si>
    <t>1.7.4.</t>
  </si>
  <si>
    <t>Предприятия по доставке пищевой продукции</t>
  </si>
  <si>
    <t>На дифтерию зев</t>
  </si>
  <si>
    <t>На дифтерию нос</t>
  </si>
  <si>
    <t>На стафилококк (отделяемое из зева )</t>
  </si>
  <si>
    <t>На стафилококк (отделяемое из носа)</t>
  </si>
  <si>
    <t>7.12.</t>
  </si>
  <si>
    <t>7.17.</t>
  </si>
  <si>
    <t>7.18.</t>
  </si>
  <si>
    <r>
      <t>Микрофлора * (моча, желчь, рана, зев, нос и т.д</t>
    </r>
    <r>
      <rPr>
        <sz val="10"/>
        <color indexed="8"/>
        <rFont val="Times New Roman"/>
        <family val="1"/>
      </rPr>
      <t>.)</t>
    </r>
  </si>
  <si>
    <t>*</t>
  </si>
  <si>
    <t>каждое исследование считать по отдельности</t>
  </si>
  <si>
    <t>Забор крови</t>
  </si>
  <si>
    <t>0,12</t>
  </si>
  <si>
    <t>8.15.</t>
  </si>
  <si>
    <t>Органическое вещество</t>
  </si>
  <si>
    <t>3.3.33.</t>
  </si>
  <si>
    <t>смыв с коньюктивы (1 антиген)</t>
  </si>
  <si>
    <t xml:space="preserve"> секционный материал  (7 антигенов)</t>
  </si>
  <si>
    <t>1.7.5.</t>
  </si>
  <si>
    <t>Водный транспорт</t>
  </si>
  <si>
    <t>не поднимать!!!</t>
  </si>
  <si>
    <r>
      <t xml:space="preserve">Обучение работников ДДУ,образовательных учреждений,средних и высших учебных заведений; внешкольных учреждений; учреждений временного содержания детей; </t>
    </r>
    <r>
      <rPr>
        <sz val="10"/>
        <color indexed="10"/>
        <rFont val="Times New Roman"/>
        <family val="1"/>
      </rPr>
      <t>прочие работники учреждений социальной защиты</t>
    </r>
  </si>
  <si>
    <t xml:space="preserve">Прейскурант </t>
  </si>
  <si>
    <t>На основные виды платных работ и услуг с "01" января 2017г.</t>
  </si>
  <si>
    <t>с "01" января 2017г.</t>
  </si>
  <si>
    <t>Прейскурант</t>
  </si>
  <si>
    <t>с "1" января 2017г.</t>
  </si>
  <si>
    <t>№243-д от "09" декабря 2016г.</t>
  </si>
  <si>
    <t>Исследрование воздушной среды производственных помещений Аспиратором  АМ-5, индикаторными трубками (ИТ), газоанализатором "ГАНК-4"</t>
  </si>
  <si>
    <t>Прейскурант цен на санитарно-эпидемиологическую экспертизу проектной и иной нормативной документации</t>
  </si>
  <si>
    <t>Наименование видов работ</t>
  </si>
  <si>
    <t>Единица измерения</t>
  </si>
  <si>
    <t>ЦЕНА, руб (без НДС)</t>
  </si>
  <si>
    <t>ЦЕНА, руб (с НДС)</t>
  </si>
  <si>
    <t>I</t>
  </si>
  <si>
    <t>Санитарно-эпидемиологическая экспертиза проектной и иной нормативной документации</t>
  </si>
  <si>
    <t>1 группа сложности</t>
  </si>
  <si>
    <t>заключение</t>
  </si>
  <si>
    <t>Санитарно-эпидемиологическая экспертиза проектов нормативов ПДВ ( от 1 до 10 загрязняющих веществ) указанных в проекте</t>
  </si>
  <si>
    <t>2 группа сложности</t>
  </si>
  <si>
    <t>Санитарно-эпидемиологическая экспертиза проектов зон санитарной охраны источников централизованного хозяйственно-питьевого водоснабжения населения</t>
  </si>
  <si>
    <t>Санитарно-эпидемиологическая экспертиза проектов нормативов ПДВ (от 11 до 20 загрязняющих веществ) указанных в проекте</t>
  </si>
  <si>
    <t>Санитарно-эпидемиологическая экспертиза проектов санитарно-защитных зон (до 50 загрязняющих веществ и физических факторов воздейстивия)</t>
  </si>
  <si>
    <t>1.2.4.</t>
  </si>
  <si>
    <t>Санитарно-эпидемиологическая экспертиза проектов НДС (от 1 до 10 загрязняющих веществ)</t>
  </si>
  <si>
    <t>1.2.5.</t>
  </si>
  <si>
    <t>Санитарно-эпидемиологическая экспертиза проектной документации на размещение ПРТО ( от 1 до 10 источников)</t>
  </si>
  <si>
    <t>1.2.6.</t>
  </si>
  <si>
    <t>Санитарно-гигиеническая экспертиза документации на эксплуатацию передающих радиотехнических объектов (ПРТО)( от 1 до 10 источников)</t>
  </si>
  <si>
    <t>3 группа сложности</t>
  </si>
  <si>
    <t>Санитарно-эпидемиологическая экспертиза проектов нормативов ПДВ( от 21 до 50 загрязняющих веществ ) указанных в проекте</t>
  </si>
  <si>
    <t>Санитарно-эпидемиологическая экспертиза проектов санитарно-защитных зон (более 50 загрязняющих веществ и физических факторов воздействия )</t>
  </si>
  <si>
    <t>Санитарно-эпидемиологическая экспертиза проектов НДС (от 11 до 20 загрязняющих веществ)</t>
  </si>
  <si>
    <t>Санитарно-эпидемиологическая экспертиза проектной документации на размещение ПРТО (от 11 до 20 источников)</t>
  </si>
  <si>
    <t>Санитарно-эпидемиологическая экспертиза проектов зон санитарной охраны источников централизованного хозяйственно-питьевого водоснабжения населения для нескольких водопроводов юр.лица</t>
  </si>
  <si>
    <t>Санитарно-гигиеническая экспертиза документации на эксплуатацию передающих радиотехнических объектов (ПРТО)( от 11 до 20 источников)</t>
  </si>
  <si>
    <t>4 группа сложности</t>
  </si>
  <si>
    <t>Санитарно-эпидемиологическая экспертиза проектов санитарно-защитных зон для групп предприятий</t>
  </si>
  <si>
    <t>Санитарно-эпидемиологическая экспертиза проектов нормативов ПДВ( более 50 загрязняющих веществ и физических факторов воздейстивия) указанных в проекте</t>
  </si>
  <si>
    <t>Санитарно-эпидемиологическая экспертиза проектной документации на размещение ПРТО (более 21 источника)</t>
  </si>
  <si>
    <t>Санитарно-эпидемиологическая экспертиза проектов НДС (более 20 загрязняющих веществ)</t>
  </si>
  <si>
    <t>Санитарно-эпидемиологическая экспертиза проекта водопользования</t>
  </si>
  <si>
    <t>Санитарно-гигиеническая экспертиза документации на эксплуатацию передающих радиотехнических объектов (ПРТО)( более 20 источников)</t>
  </si>
  <si>
    <t>Санитарно-эпидемиологическая экспертиза лабораторий</t>
  </si>
  <si>
    <t>Санитарно-эпидемиологическая экспертиза лабораторий, осуществляющих работу с микроорганизмами 1-4 группы патогенности и гельминтами (1 категория сложности мероприятия)</t>
  </si>
  <si>
    <t>Санитарно-эпидемиологическая экспертиза лабораторий, осуществляющих работу с микроорганизмами 1-4 группы патогенности и гельминтами (2 категория сложности мероприятия)</t>
  </si>
  <si>
    <t>Санитарно-эпидемиологическая экспертиза результатов лабораторных исследований выбросов вредных веществ в атмосферу и инструментальных измерений факторов физического воздействия (до 50 загрязняющих веществ и физических факторов воздействия (шум, вибрация , ЭМИ и другие) для получения санитарно-эпидемиологического заключения по окончательной санитарно-защитной зоны</t>
  </si>
  <si>
    <t>Санитарно-эпидемиологическая экспертиза результатов лабораторных исследований выбросов вредных веществ в атмосферу и инструментальных измерений факторов физического воздействия (более 50 загрязняющих веществ и физических факторов воздействия (шум, вибрация , ЭМИ и другие) для получения санитарно-эпидемиологического заключения по окончательной санитарно-защитной зоны</t>
  </si>
  <si>
    <t>Контроль выполнения санитарного законодательства</t>
  </si>
  <si>
    <t>Санитарно-гигиеническая оценка результатов лабораторных исследований от 1 до 3 проб пищевых продуктов, в том числе вода, расфасованная в емкости и алкогольная продукция</t>
  </si>
  <si>
    <t>Санитарно-гигиеническая оценка результатов лабораторных исследований более 4 проб пищевых продуктов, в том числе вода, расфасованная в емкости и алкогольная продукция</t>
  </si>
  <si>
    <t>Санитарно-гигиеническая оценка выбросов вредных веществ в атмосферный воздух: 1 точка с количеством загрязняющих веществ- от 1  до 5 веществ</t>
  </si>
  <si>
    <t>1.6.4.</t>
  </si>
  <si>
    <t>Санитарно-гигиеническая оценка выбросов вредных веществ в атмосферный воздух: 2 точки с количеством загрязняющих веществ- от 1 до 5 веществ</t>
  </si>
  <si>
    <t>1.6.5.</t>
  </si>
  <si>
    <t>Санитарно-гигиеническая оценка выбросов вредных веществ в атмосферный воздух: 3 точки с количеством загрязняющих веществ- от 1 до 5 веществ</t>
  </si>
  <si>
    <t>1.6.6.</t>
  </si>
  <si>
    <t>Санитарно-гигиеническая оценка выбросов вредных веществ в атмосферный воздух: 4 точки с количеством загрязняющих веществ- от 1  до 5 веществ</t>
  </si>
  <si>
    <t>1.6.7.</t>
  </si>
  <si>
    <t>Санитарно-гигиеническая оценка выбросов вредных веществ в атмосферный воздух: 5 точки с количеством загрязняющих веществ- от 1 до 5 веществ</t>
  </si>
  <si>
    <t>1.6.8.</t>
  </si>
  <si>
    <t>Санитарно-гигиеническая оценка выбросов вредных веществ в атмосферный воздух: 6 точки с количеством загрязняющих веществ- от 1 до 5 веществ</t>
  </si>
  <si>
    <t>1.6.9.</t>
  </si>
  <si>
    <t>Санитарно-гигиеническая оценка выбросов вредных веществ в атмосферный воздух: 7 точки с количеством загрязняющих веществ- от 1  до 5 веществ</t>
  </si>
  <si>
    <t>1.6.10.</t>
  </si>
  <si>
    <t>Санитарно-гигиеническая оценка выбросов вредных веществ в атмосферный воздух: 8 точки с количеством загрязняющих веществ- от 1 до 5 веществ</t>
  </si>
  <si>
    <t>1.6.11.</t>
  </si>
  <si>
    <t>Санитарно-гигиеническая оценка выбросов вредных веществ в атмосферный воздух: 9 точки с количеством загрязняющих веществ- от 1 до 5 веществ</t>
  </si>
  <si>
    <t>1.6.12.</t>
  </si>
  <si>
    <t>Санитарно-гигиеническая оценка выбросов вредных веществ в атмосферный воздух: 10 точки с количеством загрязняющих веществ- от 1 до 5 веществ</t>
  </si>
  <si>
    <t>1.6.13.</t>
  </si>
  <si>
    <t>Санитарно-гигиеническая оценка выбросов вредных веществ в атмосферный воздух: 1 точки с количеством загрязняющих веществ- от 6 веществ и более</t>
  </si>
  <si>
    <t>1.6.14.</t>
  </si>
  <si>
    <t>Санитарно-гигиеническая оценка выбросов вредных веществ в атмосферный воздух: 2 точки с количеством загрязняющих веществ- от 6 веществ и более</t>
  </si>
  <si>
    <t>1.6.15.</t>
  </si>
  <si>
    <t>Санитарно-гигиеническая оценка выбросов вредных веществ в атмосферный воздух: 3 точки с количеством загрязняющих веществ- от 6 веществ и более</t>
  </si>
  <si>
    <t>1.6.16.</t>
  </si>
  <si>
    <t>Санитарно-гигиеническая оценка выбросов вредных веществ в атмосферный воздух: 4 точки с количеством загрязняющих веществ- от 6 веществ и более</t>
  </si>
  <si>
    <t>1.6.17.</t>
  </si>
  <si>
    <t>Санитарно-гигиеническая оценка выбросов вредных веществ в атмосферный воздух: 5 точки с количеством загрязняющих веществ- от 6 веществ и более</t>
  </si>
  <si>
    <t>1.6.18.</t>
  </si>
  <si>
    <t>Санитарно-гигиеническая оценка выбросов вредных веществ в атмосферный воздух: 6 точки с количеством загрязняющих веществ- от 6 веществ и более</t>
  </si>
  <si>
    <t>1.6.19.</t>
  </si>
  <si>
    <t>Санитарно-гигиеническая оценка выбросов вредных веществ в атмосферный воздух: 7 точки с количеством загрязняющих веществ- от 6 веществ и более</t>
  </si>
  <si>
    <t>1.6.20.</t>
  </si>
  <si>
    <t>Санитарно-гигиеническая оценка выбросов вредных веществ в атмосферный воздух: 8 точки с количеством загрязняющих веществ- от 6 веществ и более</t>
  </si>
  <si>
    <t>1.6.21.</t>
  </si>
  <si>
    <t>Санитарно-гигиеническая оценка выбросов вредных веществ в атмосферный воздух: 9 точки с количеством загрязняющих веществ- от 6 веществ и более</t>
  </si>
  <si>
    <t>1.6.22.</t>
  </si>
  <si>
    <t>Санитарно-гигиеническая оценка выбросов вредных веществ в атмосферный воздух: 10 точки с количеством загрязняющих веществ- от 6 веществ и более</t>
  </si>
  <si>
    <t>1.6.23.</t>
  </si>
  <si>
    <t>Санитарно-гигиеническая оценка физических факторов воздействия на окружающую среду (шум, вибрация, ЭМИ и другие: по количеству точек : 1 точка с количеством факторов</t>
  </si>
  <si>
    <t>1.6.24.</t>
  </si>
  <si>
    <t>Санитарно-гигиеническая оценка физических факторов воздействия на окружающую среду (шум, вибрация, ЭМИ и другие: по количеству точек : 2 точка с количеством факторов</t>
  </si>
  <si>
    <t>1.6.25.</t>
  </si>
  <si>
    <t>Санитарно-гигиеническая оценка физических факторов воздействия на окружающую среду (шум, вибрация, ЭМИ и другие: по количеству точек :3 точка с количеством факторов</t>
  </si>
  <si>
    <t>1.6.26.</t>
  </si>
  <si>
    <t>Санитарно-гигиеническая оценка физических факторов воздействия на окружающую среду (шум, вибрация, ЭМИ и другие: по количеству точек : 4 точка с количеством факторов</t>
  </si>
  <si>
    <t>1.6.27.</t>
  </si>
  <si>
    <t>Санитарно-гигиеническая оценка физических факторов воздействия на окружающую среду (шум, вибрация, ЭМИ и другие: по количеству точек : 5 точка с количеством факторов</t>
  </si>
  <si>
    <t>1.6.28.</t>
  </si>
  <si>
    <t>Санитарно-гигиеническая оценка физических факторов воздействия на окружающую среду (шум, вибрация, ЭМИ и другие: по количеству точек :  6 точка с количеством факторов</t>
  </si>
  <si>
    <t>1.6.29.</t>
  </si>
  <si>
    <t>Санитарно-гигиеническая оценка физических факторов воздействия на окружающую среду (шум, вибрация, ЭМИ и другие: по количеству точек : 7 точка с количеством факторов</t>
  </si>
  <si>
    <t>1.6.30.</t>
  </si>
  <si>
    <t>Санитарно-гигиеническая оценка физических факторов воздействия на окружающую среду (шум, вибрация, ЭМИ и другие: по количеству точек :  8 точка с количеством факторов</t>
  </si>
  <si>
    <t>1.6.31.</t>
  </si>
  <si>
    <t>Санитарно-гигиеническая оценка физических факторов воздействия на окружающую среду (шум, вибрация, ЭМИ и другие: по количеству точек : 9 точка с количеством факторов</t>
  </si>
  <si>
    <t>1.6.32.</t>
  </si>
  <si>
    <t>Санитарно-гигиеническая оценка физических факторов воздействия на окружающую среду (шум, вибрация, ЭМИ и другие: по количеству точек : 10 точка с количеством факторов</t>
  </si>
  <si>
    <t>1.6.33.</t>
  </si>
  <si>
    <t>Санитарно-гигиеническая оценка физических факторов воздействия на окружающую среду (шум, вибрация, ЭМИ и другие: по количеству точек :1 точка с количеством факторов-2 и более</t>
  </si>
  <si>
    <t>1.6.34.</t>
  </si>
  <si>
    <t>Санитарно-гигиеническая оценка физических факторов воздействия на окружающую среду (шум, вибрация, ЭМИ и другие: по количеству точек : 2 точки с количеством факторов-2 и более</t>
  </si>
  <si>
    <t>1.6.35.</t>
  </si>
  <si>
    <t>Санитарно-гигиеническая оценка физических факторов воздействия на окружающую среду (шум, вибрация, ЭМИ и другие: по количеству точек : 3 точки с количеством факторов-2 и более</t>
  </si>
  <si>
    <t>1.6.36.</t>
  </si>
  <si>
    <t>Санитарно-гигиеническая оценка физических факторов воздействия на окружающую среду (шум, вибрация, ЭМИ и другие: по количеству точек : 4 точки с количеством факторов-2 и более</t>
  </si>
  <si>
    <t>1.6.37.</t>
  </si>
  <si>
    <t>Санитарно-гигиеническая оценка физических факторов воздействия на окружающую среду (шум, вибрация, ЭМИ и другие: по количеству точек : 5 точек с количеством факторов-2 и более</t>
  </si>
  <si>
    <t>1.6.38.</t>
  </si>
  <si>
    <t>Санитарно-гигиеническая оценка физических факторов воздействия на окружающую среду (шум, вибрация, ЭМИ и другие: по количеству точек : 6 точек с количеством факторов-2 и более</t>
  </si>
  <si>
    <t>1.6.39.</t>
  </si>
  <si>
    <t>Санитарно-гигиеническая оценка физических факторов воздействия на окружающую среду (шум, вибрация, ЭМИ и другие: по количеству точек : 7 точек с количеством факторов-2 и более</t>
  </si>
  <si>
    <t>1.6.40.</t>
  </si>
  <si>
    <t>Санитарно-гигиеническая оценка физических факторов воздействия на окружающую среду (шум, вибрация, ЭМИ и другие: по количеству точек : 8 точек с количеством факторов-2 и более</t>
  </si>
  <si>
    <t>1.6.41.</t>
  </si>
  <si>
    <t>Санитарно-гигиеническая оценка физических факторов воздействия на окружающую среду (шум, вибрация, ЭМИ и другие: по количеству точек : 9 точек с количеством факторов-2 и более</t>
  </si>
  <si>
    <t>1.6.42.</t>
  </si>
  <si>
    <t>Санитарно-гигиеническая оценка физических факторов воздействия на окружающую среду (шум, вибрация, ЭМИ и другие: по количеству точек : 10 точек с количеством факторов-2 и более</t>
  </si>
  <si>
    <t>1.6.43.</t>
  </si>
  <si>
    <t>Санитарно-гигиеническая экспертиза школьного расписания</t>
  </si>
  <si>
    <t>1.6.44.</t>
  </si>
  <si>
    <t>Санитарно-гигиеническая экспертиза примерного меню</t>
  </si>
  <si>
    <t>1.6.45.</t>
  </si>
  <si>
    <t>Санитарно-гигиеническая оценка маркировки продукции от 1 до 3 проб пищевых продуктов, в том числе вода, расфасованная в емкости и алкогольная продукция</t>
  </si>
  <si>
    <t>1.6.46.</t>
  </si>
  <si>
    <t>Санитарно-гигиеническая оценка маркировки продукции более 4 проб пищевых продуктов, в том числе вода, расфасованная в емкости и алкогольная продукция</t>
  </si>
  <si>
    <t>Санитарно-эпидемиологическая экспертиза условий работы по результатам лабораторно-инструментальных исследований</t>
  </si>
  <si>
    <t>1.7.1</t>
  </si>
  <si>
    <t>источников неионизирующего излучения по результатам замеров уровней шума – от 1 до 5 замеров</t>
  </si>
  <si>
    <t>1.7.2</t>
  </si>
  <si>
    <t>источников неионизирующего излучения по результатам замеров уровней шума – от 6 до 10 замеров</t>
  </si>
  <si>
    <t>1.7.3</t>
  </si>
  <si>
    <t>источников неионизирующего излучения по результатам замеров уровней шума – более 10 замеров</t>
  </si>
  <si>
    <t>1.7.4</t>
  </si>
  <si>
    <t>источников неионизирующего излучения по результатам замеров уровней освещенности – 1 до 5 замеров</t>
  </si>
  <si>
    <t>1.7.5</t>
  </si>
  <si>
    <t>источников неионизирующего излучения по результатам замеров уровней освещенности – 6 до 10 замеров</t>
  </si>
  <si>
    <t>1.7.6</t>
  </si>
  <si>
    <t>источников неионизирующего излучения по результатам замеров уровней освещенности – от 10 до 20 замеров</t>
  </si>
  <si>
    <t>1.7.7</t>
  </si>
  <si>
    <t>источников неионизирующего излучения по результатам замеров уровней освещенности – более 20 замеров</t>
  </si>
  <si>
    <t>1.7.8</t>
  </si>
  <si>
    <t>источников неионизирующего излучения по результатам замеров микроклимата – 1 до 5 замеров</t>
  </si>
  <si>
    <t>1.7.9</t>
  </si>
  <si>
    <t>источников неионизирующего излучения по результатам замеров микроклимата – от 6 до 10 замеров</t>
  </si>
  <si>
    <t>1.7.10</t>
  </si>
  <si>
    <t>источников неионизирующего излучения по результатам замеров микроклимата –  от 10 до 20 замеров</t>
  </si>
  <si>
    <t>1.7.11</t>
  </si>
  <si>
    <t>источников неионизирующего излучения по результатам замеров микроклимата – более 20 замеров</t>
  </si>
  <si>
    <t>1.7.12</t>
  </si>
  <si>
    <t>источников неионизирующего излучения по результатам замеров ЭМП – 1 до 5 замеров</t>
  </si>
  <si>
    <t>1.7.13</t>
  </si>
  <si>
    <t>источников неионизирующего излучения по результатам замеров ЭМП – 5 до 10 замеров</t>
  </si>
  <si>
    <t>1.7.14</t>
  </si>
  <si>
    <t>источников неионизирующего излучения по результатам замеров ЭМП – более 10 замеров</t>
  </si>
  <si>
    <t>1.7.15</t>
  </si>
  <si>
    <t>по результатам замеров эффективности работы вентиляционной установки – от 1 до 5 замеров</t>
  </si>
  <si>
    <t>1.7.16</t>
  </si>
  <si>
    <t>по результатам замеров эффективности работы вентиляционной установки – от 6 до 10 замеров</t>
  </si>
  <si>
    <t>1.7.17</t>
  </si>
  <si>
    <t>по результатам замеров эффективности работы вентиляционной установки – более 10 замеров</t>
  </si>
  <si>
    <t>ПРИМЕЧАНИЕ:</t>
  </si>
  <si>
    <t>1) При проведении повторной экспертизы  (п. 1.1., 1.2.,1.3.,1.4.,1.5.) оплата производится с понижающим коэффициентом 2 .</t>
  </si>
  <si>
    <t>Приложение №14 к приказу</t>
  </si>
  <si>
    <t>Действует с "01" января  2017г.</t>
  </si>
  <si>
    <t>Санитарно-гигиеническая экспертиза проектов по сбору, использованию, обезвреживанию, транспортировке, размещению отходов I-IV класса опасности</t>
  </si>
  <si>
    <t>*Стоимость экпертизы в срочном порядке устанавливается , согласно Приложения №2 к приказу Федеральной службы по надзору в сфере защиты прав потребителей и благополучия человека от 17 сентября 2012 года №907 , "Предельные размеры платы за санитарно-эпидемиологические экспертизы, расследования, обследования, исследования, испытания, токсикологические, гигиенические и другие виды оценок в сфере санитарно-эпидемиологического благополучия человека" . Срок проведения срочной экспертизы в течении 15 календарных дней после поступления предварительной оплаты на расчетный счет или в кассу Исполнителя.</t>
  </si>
  <si>
    <t>Прейскурант цен на санитарно-эпидемиологическую экспертизу проектной и иной нормативной документации в срочном порядке</t>
  </si>
  <si>
    <t>Приложение №15 к приказу</t>
  </si>
  <si>
    <t>Действует с "01" января   2017г.</t>
  </si>
  <si>
    <t>Нименование района</t>
  </si>
  <si>
    <t>Абыйский</t>
  </si>
  <si>
    <t>Алданский</t>
  </si>
  <si>
    <t>Аллаиховский</t>
  </si>
  <si>
    <t>Амгинский</t>
  </si>
  <si>
    <t>Анабарский</t>
  </si>
  <si>
    <t>Булунский</t>
  </si>
  <si>
    <t>Верхневилюйский</t>
  </si>
  <si>
    <t>Верхнеколымский</t>
  </si>
  <si>
    <t>Верхоянский</t>
  </si>
  <si>
    <t>Вилюйский</t>
  </si>
  <si>
    <t>Горный</t>
  </si>
  <si>
    <t>Жиганский</t>
  </si>
  <si>
    <t>Кобяйский</t>
  </si>
  <si>
    <t>Ленский</t>
  </si>
  <si>
    <t>Мегино-Кангаласский</t>
  </si>
  <si>
    <t>Момский</t>
  </si>
  <si>
    <t>Намский</t>
  </si>
  <si>
    <t>Нижнеколымский</t>
  </si>
  <si>
    <t>Нюрбинский</t>
  </si>
  <si>
    <t>Оймяконский</t>
  </si>
  <si>
    <t>Олекминский</t>
  </si>
  <si>
    <t>Оленекский</t>
  </si>
  <si>
    <t>Среднеколымский</t>
  </si>
  <si>
    <t>Сунтарский</t>
  </si>
  <si>
    <t>Таттинский</t>
  </si>
  <si>
    <t>Томпонский</t>
  </si>
  <si>
    <t>Усть-Алданский</t>
  </si>
  <si>
    <t>Усть-Майский</t>
  </si>
  <si>
    <t>Усть-Янский</t>
  </si>
  <si>
    <t>Хангаласский</t>
  </si>
  <si>
    <t>Чурапчинский</t>
  </si>
  <si>
    <t>Приложение №16 к приказу</t>
  </si>
  <si>
    <t xml:space="preserve">Повышающий коэффициент </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</si>
</sst>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0_р_."/>
    <numFmt numFmtId="167" formatCode="#,##0.0_р_."/>
    <numFmt numFmtId="168" formatCode="0.0000000"/>
    <numFmt numFmtId="169" formatCode="0.000000"/>
    <numFmt numFmtId="170" formatCode="0.00000"/>
    <numFmt numFmtId="171" formatCode="0.0000"/>
    <numFmt numFmtId="172" formatCode="0.000"/>
    <numFmt numFmtId="173" formatCode="#,##0.0"/>
    <numFmt numFmtId="174" formatCode="#,##0.000_р_."/>
    <numFmt numFmtId="175" formatCode="[$-FC19]d\ mmmm\ yyyy\ &quot;г.&quot;"/>
    <numFmt numFmtId="176" formatCode="#,##0.0000_р_."/>
    <numFmt numFmtId="177" formatCode="#,##0.000"/>
    <numFmt numFmtId="178" formatCode="0.00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000"/>
    <numFmt numFmtId="184" formatCode="_-* #,##0.0_р_._-;\-* #,##0.0_р_._-;_-* &quot;-&quot;??_р_._-;_-@_-"/>
    <numFmt numFmtId="185" formatCode="_-* #,##0_р_._-;\-* #,##0_р_._-;_-* &quot;-&quot;??_р_._-;_-@_-"/>
    <numFmt numFmtId="186" formatCode="_-* #,##0.000_р_._-;\-* #,##0.000_р_._-;_-* &quot;-&quot;??_р_._-;_-@_-"/>
    <numFmt numFmtId="187" formatCode="_-* #,##0.0000_р_._-;\-* #,##0.0000_р_._-;_-* &quot;-&quot;??_р_._-;_-@_-"/>
    <numFmt numFmtId="188" formatCode="_-* #,##0.00000_р_._-;\-* #,##0.00000_р_._-;_-* &quot;-&quot;?????_р_._-;_-@_-"/>
    <numFmt numFmtId="189" formatCode="_-* #,##0.00000_р_._-;\-* #,##0.00000_р_._-;_-* &quot;-&quot;??_р_._-;_-@_-"/>
    <numFmt numFmtId="190" formatCode="_-* #,##0.0000_р_._-;\-* #,##0.0000_р_._-;_-* &quot;-&quot;????_р_._-;_-@_-"/>
    <numFmt numFmtId="191" formatCode="_(* #,##0.0_);_(* \(#,##0.0\);_(* &quot;-&quot;??_);_(@_)"/>
    <numFmt numFmtId="192" formatCode="_-* #,##0.000_р_._-;\-* #,##0.000_р_._-;_-* &quot;-&quot;???_р_._-;_-@_-"/>
    <numFmt numFmtId="193" formatCode="_-* #,##0.00_р_._-;\-* #,##0.00_р_._-;_-* &quot;-&quot;???_р_._-;_-@_-"/>
    <numFmt numFmtId="194" formatCode="_-* #,##0.0_р_._-;\-* #,##0.0_р_._-;_-* &quot;-&quot;???_р_._-;_-@_-"/>
    <numFmt numFmtId="195" formatCode="_-* #,##0_р_._-;\-* #,##0_р_._-;_-* &quot;-&quot;???_р_._-;_-@_-"/>
    <numFmt numFmtId="196" formatCode="_-* #,##0.0_р_._-;\-* #,##0.0_р_._-;_-* &quot;-&quot;?_р_._-;_-@_-"/>
    <numFmt numFmtId="197" formatCode="_-* #,##0.000000_р_._-;\-* #,##0.000000_р_._-;_-* &quot;-&quot;??_р_._-;_-@_-"/>
    <numFmt numFmtId="198" formatCode="_-* #,##0.0000000_р_._-;\-* #,##0.0000000_р_._-;_-* &quot;-&quot;??_р_._-;_-@_-"/>
    <numFmt numFmtId="199" formatCode="_-* #,##0.00000000_р_._-;\-* #,##0.00000000_р_._-;_-* &quot;-&quot;??_р_._-;_-@_-"/>
    <numFmt numFmtId="200" formatCode="_-* #,##0.0000_р_._-;\-* #,##0.0000_р_._-;_-* &quot;-&quot;?????_р_._-;_-@_-"/>
    <numFmt numFmtId="201" formatCode="_-* #,##0.000_р_._-;\-* #,##0.000_р_._-;_-* &quot;-&quot;?????_р_._-;_-@_-"/>
    <numFmt numFmtId="202" formatCode="_-* #,##0.00_р_._-;\-* #,##0.00_р_._-;_-* &quot;-&quot;?????_р_._-;_-@_-"/>
    <numFmt numFmtId="203" formatCode="_-* #,##0.0_р_._-;\-* #,##0.0_р_._-;_-* &quot;-&quot;?????_р_._-;_-@_-"/>
    <numFmt numFmtId="204" formatCode="#,##0.00&quot;р.&quot;"/>
    <numFmt numFmtId="205" formatCode="#,##0.00_ ;\-#,##0.00\ "/>
  </numFmts>
  <fonts count="87">
    <font>
      <sz val="10"/>
      <name val="Arial Cyr"/>
      <family val="0"/>
    </font>
    <font>
      <b/>
      <sz val="10"/>
      <color indexed="8"/>
      <name val="Times New Roman"/>
      <family val="1"/>
    </font>
    <font>
      <sz val="10"/>
      <color indexed="8"/>
      <name val="Times New Roman"/>
      <family val="1"/>
    </font>
    <font>
      <sz val="12"/>
      <name val="Times New Roman"/>
      <family val="1"/>
    </font>
    <font>
      <i/>
      <sz val="10"/>
      <color indexed="8"/>
      <name val="Times New Roman"/>
      <family val="1"/>
    </font>
    <font>
      <i/>
      <sz val="9"/>
      <color indexed="8"/>
      <name val="Times New Roman"/>
      <family val="1"/>
    </font>
    <font>
      <sz val="10"/>
      <name val="Times New Roman"/>
      <family val="1"/>
    </font>
    <font>
      <i/>
      <sz val="11"/>
      <color indexed="8"/>
      <name val="Times New Roman"/>
      <family val="1"/>
    </font>
    <font>
      <sz val="12"/>
      <name val="Arial Cyr"/>
      <family val="0"/>
    </font>
    <font>
      <b/>
      <sz val="12"/>
      <color indexed="8"/>
      <name val="Times New Roman"/>
      <family val="1"/>
    </font>
    <font>
      <b/>
      <i/>
      <sz val="12"/>
      <color indexed="8"/>
      <name val="Times New Roman"/>
      <family val="1"/>
    </font>
    <font>
      <sz val="8"/>
      <name val="Arial Cyr"/>
      <family val="0"/>
    </font>
    <font>
      <b/>
      <sz val="10"/>
      <name val="Arial Cyr"/>
      <family val="0"/>
    </font>
    <font>
      <b/>
      <sz val="10"/>
      <name val="Times New Roman"/>
      <family val="1"/>
    </font>
    <font>
      <b/>
      <i/>
      <sz val="9"/>
      <color indexed="8"/>
      <name val="Times New Roman"/>
      <family val="1"/>
    </font>
    <font>
      <b/>
      <i/>
      <sz val="12"/>
      <color indexed="8"/>
      <name val="Arial"/>
      <family val="2"/>
    </font>
    <font>
      <b/>
      <i/>
      <sz val="11"/>
      <color indexed="8"/>
      <name val="Arial"/>
      <family val="2"/>
    </font>
    <font>
      <b/>
      <sz val="8"/>
      <color indexed="8"/>
      <name val="Times New Roman"/>
      <family val="1"/>
    </font>
    <font>
      <sz val="8"/>
      <color indexed="8"/>
      <name val="Times New Roman"/>
      <family val="1"/>
    </font>
    <font>
      <b/>
      <sz val="8"/>
      <name val="Times New Roman"/>
      <family val="1"/>
    </font>
    <font>
      <b/>
      <sz val="14"/>
      <color indexed="8"/>
      <name val="Times New Roman"/>
      <family val="1"/>
    </font>
    <font>
      <b/>
      <sz val="11"/>
      <color indexed="8"/>
      <name val="Times New Roman"/>
      <family val="1"/>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Times New Roman"/>
      <family val="1"/>
    </font>
    <font>
      <i/>
      <sz val="10"/>
      <name val="Arial Cyr"/>
      <family val="0"/>
    </font>
    <font>
      <sz val="10"/>
      <color indexed="10"/>
      <name val="Arial Cyr"/>
      <family val="0"/>
    </font>
    <font>
      <b/>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Times New Roman"/>
      <family val="1"/>
    </font>
    <font>
      <b/>
      <i/>
      <sz val="12"/>
      <name val="Arial"/>
      <family val="2"/>
    </font>
    <font>
      <b/>
      <sz val="9"/>
      <name val="Times New Roman"/>
      <family val="1"/>
    </font>
    <font>
      <sz val="9"/>
      <name val="Arial Cyr"/>
      <family val="0"/>
    </font>
    <font>
      <sz val="12"/>
      <color indexed="8"/>
      <name val="Times New Roman"/>
      <family val="1"/>
    </font>
    <font>
      <u val="single"/>
      <sz val="10"/>
      <color indexed="8"/>
      <name val="Times New Roman"/>
      <family val="1"/>
    </font>
    <font>
      <b/>
      <i/>
      <sz val="10"/>
      <color indexed="8"/>
      <name val="Times New Roman"/>
      <family val="1"/>
    </font>
    <font>
      <vertAlign val="superscript"/>
      <sz val="10"/>
      <name val="Times New Roman"/>
      <family val="1"/>
    </font>
    <font>
      <sz val="10"/>
      <color indexed="20"/>
      <name val="Arial Cyr"/>
      <family val="0"/>
    </font>
    <font>
      <sz val="10"/>
      <color indexed="14"/>
      <name val="Arial Cyr"/>
      <family val="0"/>
    </font>
    <font>
      <b/>
      <sz val="10"/>
      <color indexed="14"/>
      <name val="Arial Cyr"/>
      <family val="0"/>
    </font>
    <font>
      <u val="single"/>
      <sz val="10"/>
      <name val="Times New Roman"/>
      <family val="1"/>
    </font>
    <font>
      <sz val="10"/>
      <color indexed="10"/>
      <name val="Times New Roman"/>
      <family val="1"/>
    </font>
    <font>
      <i/>
      <sz val="12"/>
      <name val="Times New Roman"/>
      <family val="1"/>
    </font>
    <font>
      <i/>
      <sz val="12"/>
      <color indexed="8"/>
      <name val="Times New Roman"/>
      <family val="1"/>
    </font>
    <font>
      <b/>
      <i/>
      <sz val="12"/>
      <name val="Times New Roman"/>
      <family val="1"/>
    </font>
    <font>
      <sz val="12"/>
      <color indexed="63"/>
      <name val="Times New Roman"/>
      <family val="1"/>
    </font>
    <font>
      <sz val="11"/>
      <color indexed="63"/>
      <name val="Times New Roman"/>
      <family val="1"/>
    </font>
    <font>
      <sz val="11"/>
      <color indexed="8"/>
      <name val="Times New Roman"/>
      <family val="1"/>
    </font>
    <font>
      <b/>
      <sz val="11"/>
      <color indexed="63"/>
      <name val="Times New Roman"/>
      <family val="1"/>
    </font>
    <font>
      <b/>
      <sz val="12"/>
      <color indexed="63"/>
      <name val="Times New Roman"/>
      <family val="1"/>
    </font>
    <font>
      <sz val="10"/>
      <color indexed="63"/>
      <name val="Times New Roman"/>
      <family val="1"/>
    </font>
    <font>
      <b/>
      <sz val="10"/>
      <color indexed="63"/>
      <name val="Times New Roman"/>
      <family val="1"/>
    </font>
    <font>
      <b/>
      <i/>
      <sz val="10"/>
      <color indexed="63"/>
      <name val="Times New Roman"/>
      <family val="1"/>
    </font>
    <font>
      <sz val="8"/>
      <name val="Tahoma"/>
      <family val="2"/>
    </font>
    <font>
      <sz val="10"/>
      <color rgb="FFFF0000"/>
      <name val="Arial Cyr"/>
      <family val="0"/>
    </font>
    <font>
      <b/>
      <sz val="10"/>
      <color rgb="FFFF0000"/>
      <name val="Arial Cyr"/>
      <family val="0"/>
    </font>
    <font>
      <sz val="10"/>
      <color rgb="FFFF0000"/>
      <name val="Times New Roman"/>
      <family val="1"/>
    </font>
    <font>
      <sz val="10"/>
      <color rgb="FF000000"/>
      <name val="Times New Roman"/>
      <family val="1"/>
    </font>
    <font>
      <sz val="12"/>
      <color theme="1"/>
      <name val="Times New Roman"/>
      <family val="1"/>
    </font>
    <font>
      <sz val="12"/>
      <color rgb="FF4F4F4F"/>
      <name val="Times New Roman"/>
      <family val="1"/>
    </font>
    <font>
      <sz val="11"/>
      <color rgb="FF4F4F4F"/>
      <name val="Times New Roman"/>
      <family val="1"/>
    </font>
    <font>
      <sz val="11"/>
      <color theme="1"/>
      <name val="Times New Roman"/>
      <family val="1"/>
    </font>
    <font>
      <b/>
      <sz val="11"/>
      <color theme="1"/>
      <name val="Calibri"/>
      <family val="2"/>
    </font>
    <font>
      <b/>
      <sz val="11"/>
      <color theme="1"/>
      <name val="Times New Roman"/>
      <family val="1"/>
    </font>
    <font>
      <b/>
      <sz val="11"/>
      <color rgb="FF4F4F4F"/>
      <name val="Times New Roman"/>
      <family val="1"/>
    </font>
    <font>
      <b/>
      <sz val="12"/>
      <color rgb="FF4F4F4F"/>
      <name val="Times New Roman"/>
      <family val="1"/>
    </font>
    <font>
      <sz val="10"/>
      <color rgb="FF4F4F4F"/>
      <name val="Times New Roman"/>
      <family val="1"/>
    </font>
    <font>
      <b/>
      <sz val="10"/>
      <color rgb="FF4F4F4F"/>
      <name val="Times New Roman"/>
      <family val="1"/>
    </font>
    <font>
      <b/>
      <i/>
      <sz val="10"/>
      <color rgb="FF4F4F4F"/>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medium"/>
      <right style="medium"/>
      <top style="medium"/>
      <bottom style="mediu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medium"/>
      <top style="medium"/>
      <bottom>
        <color indexed="63"/>
      </bottom>
    </border>
    <border>
      <left>
        <color indexed="63"/>
      </left>
      <right style="medium"/>
      <top style="medium"/>
      <bottom>
        <color indexed="63"/>
      </bottom>
    </border>
    <border>
      <left style="thin"/>
      <right style="medium"/>
      <top style="medium"/>
      <bottom style="thin"/>
    </border>
    <border>
      <left style="thin"/>
      <right style="thin"/>
      <top style="medium"/>
      <bottom style="thin"/>
    </border>
    <border>
      <left style="thin"/>
      <right style="medium"/>
      <top style="thin"/>
      <bottom style="medium"/>
    </border>
    <border>
      <left>
        <color indexed="63"/>
      </left>
      <right style="thin"/>
      <top style="thin"/>
      <bottom style="thin"/>
    </border>
    <border>
      <left style="medium"/>
      <right style="thin"/>
      <top style="thin"/>
      <bottom style="thin"/>
    </border>
    <border>
      <left>
        <color indexed="63"/>
      </left>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medium"/>
      <right style="thin"/>
      <top style="medium"/>
      <bottom style="thin"/>
    </border>
    <border>
      <left style="medium"/>
      <right>
        <color indexed="63"/>
      </right>
      <top style="thin"/>
      <bottom style="thin"/>
    </border>
    <border>
      <left style="medium"/>
      <right style="thin"/>
      <top style="thin"/>
      <bottom style="medium"/>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style="medium"/>
    </border>
    <border>
      <left style="medium"/>
      <right style="medium"/>
      <top style="thin"/>
      <bottom>
        <color indexed="63"/>
      </bottom>
    </border>
    <border>
      <left style="thin"/>
      <right style="medium"/>
      <top>
        <color indexed="63"/>
      </top>
      <bottom style="thin"/>
    </border>
    <border>
      <left style="medium"/>
      <right style="thin"/>
      <top style="medium"/>
      <bottom>
        <color indexed="63"/>
      </bottom>
    </border>
    <border>
      <left style="medium"/>
      <right style="medium"/>
      <top>
        <color indexed="63"/>
      </top>
      <bottom>
        <color indexed="63"/>
      </bottom>
    </border>
    <border>
      <left>
        <color indexed="63"/>
      </left>
      <right style="thin"/>
      <top>
        <color indexed="63"/>
      </top>
      <bottom style="thin"/>
    </border>
    <border>
      <left style="thin"/>
      <right style="thin"/>
      <top style="thin"/>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color indexed="63"/>
      </right>
      <top style="medium"/>
      <bottom style="medium"/>
    </border>
    <border>
      <left style="thin"/>
      <right style="medium"/>
      <top>
        <color indexed="63"/>
      </top>
      <bottom style="medium"/>
    </border>
    <border>
      <left style="medium"/>
      <right style="thin"/>
      <top>
        <color indexed="63"/>
      </top>
      <bottom style="medium"/>
    </border>
    <border>
      <left>
        <color indexed="63"/>
      </left>
      <right>
        <color indexed="63"/>
      </right>
      <top style="thin"/>
      <bottom style="thin"/>
    </border>
    <border>
      <left style="medium"/>
      <right>
        <color indexed="63"/>
      </right>
      <top style="medium"/>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medium"/>
      <bottom style="medium"/>
    </border>
    <border>
      <left style="thin"/>
      <right>
        <color indexed="63"/>
      </right>
      <top>
        <color indexed="63"/>
      </top>
      <bottom style="thin"/>
    </border>
    <border>
      <left style="thin"/>
      <right style="thin"/>
      <top>
        <color indexed="63"/>
      </top>
      <bottom style="medium"/>
    </border>
    <border>
      <left style="medium"/>
      <right>
        <color indexed="63"/>
      </right>
      <top>
        <color indexed="63"/>
      </top>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style="medium"/>
    </border>
    <border>
      <left>
        <color indexed="63"/>
      </left>
      <right>
        <color indexed="63"/>
      </right>
      <top>
        <color indexed="63"/>
      </top>
      <bottom style="medium"/>
    </border>
    <border>
      <left>
        <color indexed="63"/>
      </left>
      <right style="medium"/>
      <top style="thin"/>
      <bottom style="thin"/>
    </border>
    <border>
      <left/>
      <right/>
      <top style="thin">
        <color rgb="FF000000"/>
      </top>
      <bottom/>
    </border>
    <border>
      <left/>
      <right style="thin">
        <color rgb="FF000000"/>
      </right>
      <top style="thin">
        <color rgb="FF000000"/>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25"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cellStyleXfs>
  <cellXfs count="1024">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12" fillId="0" borderId="0" xfId="0" applyFont="1" applyAlignment="1">
      <alignment/>
    </xf>
    <xf numFmtId="0" fontId="0" fillId="0" borderId="0" xfId="0" applyAlignment="1">
      <alignment horizontal="right"/>
    </xf>
    <xf numFmtId="0" fontId="0" fillId="0" borderId="0" xfId="0" applyAlignment="1">
      <alignment/>
    </xf>
    <xf numFmtId="0" fontId="6" fillId="0" borderId="0" xfId="0" applyFont="1" applyAlignment="1">
      <alignment/>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164" fontId="2" fillId="24" borderId="11" xfId="0" applyNumberFormat="1" applyFont="1" applyFill="1" applyBorder="1" applyAlignment="1">
      <alignment horizontal="center" vertical="center" wrapText="1"/>
    </xf>
    <xf numFmtId="0" fontId="0" fillId="0" borderId="0" xfId="0" applyFill="1" applyAlignment="1">
      <alignment/>
    </xf>
    <xf numFmtId="0" fontId="13" fillId="0" borderId="0" xfId="0" applyFont="1" applyAlignment="1">
      <alignment/>
    </xf>
    <xf numFmtId="0" fontId="6" fillId="0" borderId="0" xfId="0" applyFont="1" applyFill="1" applyAlignment="1">
      <alignment horizontal="center"/>
    </xf>
    <xf numFmtId="0" fontId="12" fillId="0" borderId="0" xfId="0" applyFont="1" applyFill="1" applyAlignment="1">
      <alignment/>
    </xf>
    <xf numFmtId="0" fontId="1" fillId="24" borderId="11" xfId="0" applyFont="1" applyFill="1" applyBorder="1" applyAlignment="1">
      <alignment horizontal="center" vertical="center" wrapText="1"/>
    </xf>
    <xf numFmtId="0" fontId="6" fillId="0" borderId="11" xfId="0" applyFont="1" applyBorder="1" applyAlignment="1">
      <alignment horizontal="center" vertical="center"/>
    </xf>
    <xf numFmtId="0" fontId="11" fillId="0" borderId="0" xfId="0" applyFont="1" applyAlignment="1">
      <alignment/>
    </xf>
    <xf numFmtId="0" fontId="6" fillId="0" borderId="0" xfId="0" applyFont="1" applyAlignment="1">
      <alignment horizontal="center" vertical="center"/>
    </xf>
    <xf numFmtId="0" fontId="2" fillId="0" borderId="11" xfId="0" applyFont="1" applyFill="1" applyBorder="1" applyAlignment="1">
      <alignment horizontal="center" vertical="top" wrapText="1"/>
    </xf>
    <xf numFmtId="165" fontId="13" fillId="0" borderId="11" xfId="0" applyNumberFormat="1" applyFont="1" applyBorder="1" applyAlignment="1">
      <alignment/>
    </xf>
    <xf numFmtId="0" fontId="6" fillId="24" borderId="11" xfId="0" applyFont="1" applyFill="1" applyBorder="1" applyAlignment="1">
      <alignment horizontal="center" vertical="center" wrapText="1"/>
    </xf>
    <xf numFmtId="0" fontId="6" fillId="0" borderId="11" xfId="0" applyFont="1" applyFill="1" applyBorder="1" applyAlignment="1">
      <alignment horizontal="center" vertical="top" wrapText="1"/>
    </xf>
    <xf numFmtId="0" fontId="0" fillId="0" borderId="0" xfId="0" applyBorder="1" applyAlignment="1">
      <alignment/>
    </xf>
    <xf numFmtId="0" fontId="6" fillId="0" borderId="11" xfId="0" applyFont="1" applyFill="1" applyBorder="1" applyAlignment="1">
      <alignment horizontal="center"/>
    </xf>
    <xf numFmtId="0" fontId="2" fillId="25" borderId="11" xfId="0" applyFont="1" applyFill="1" applyBorder="1" applyAlignment="1">
      <alignment horizontal="center" vertical="top" wrapText="1"/>
    </xf>
    <xf numFmtId="0" fontId="6" fillId="0" borderId="11" xfId="0" applyFont="1" applyBorder="1" applyAlignment="1">
      <alignment horizontal="center"/>
    </xf>
    <xf numFmtId="0" fontId="6" fillId="0" borderId="11" xfId="0" applyFont="1" applyBorder="1" applyAlignment="1">
      <alignment/>
    </xf>
    <xf numFmtId="0" fontId="6" fillId="25" borderId="11" xfId="0" applyFont="1" applyFill="1" applyBorder="1" applyAlignment="1">
      <alignment horizontal="center" vertical="top" wrapText="1"/>
    </xf>
    <xf numFmtId="0" fontId="1" fillId="24" borderId="11" xfId="0" applyFont="1" applyFill="1" applyBorder="1" applyAlignment="1">
      <alignment vertical="top" wrapText="1"/>
    </xf>
    <xf numFmtId="0" fontId="1" fillId="0" borderId="11" xfId="0" applyFont="1" applyFill="1" applyBorder="1" applyAlignment="1">
      <alignment horizontal="center" vertical="top" wrapText="1"/>
    </xf>
    <xf numFmtId="0" fontId="1" fillId="25" borderId="11" xfId="0" applyFont="1" applyFill="1" applyBorder="1" applyAlignment="1">
      <alignment horizontal="center" vertical="top" wrapText="1"/>
    </xf>
    <xf numFmtId="165" fontId="6" fillId="0" borderId="11" xfId="0" applyNumberFormat="1" applyFont="1" applyBorder="1" applyAlignment="1">
      <alignment horizontal="center" vertical="center"/>
    </xf>
    <xf numFmtId="166" fontId="13" fillId="0" borderId="11" xfId="0" applyNumberFormat="1" applyFont="1" applyBorder="1" applyAlignment="1">
      <alignment/>
    </xf>
    <xf numFmtId="2" fontId="6" fillId="0" borderId="11" xfId="0" applyNumberFormat="1" applyFont="1" applyFill="1" applyBorder="1" applyAlignment="1">
      <alignment horizontal="center"/>
    </xf>
    <xf numFmtId="165" fontId="13" fillId="0" borderId="10" xfId="0" applyNumberFormat="1" applyFont="1" applyBorder="1" applyAlignment="1">
      <alignment/>
    </xf>
    <xf numFmtId="0" fontId="6" fillId="0" borderId="12" xfId="0" applyFont="1" applyFill="1" applyBorder="1" applyAlignment="1">
      <alignment horizontal="center"/>
    </xf>
    <xf numFmtId="2" fontId="6" fillId="0" borderId="11" xfId="0" applyNumberFormat="1" applyFont="1" applyFill="1" applyBorder="1" applyAlignment="1">
      <alignment horizontal="center" vertical="center"/>
    </xf>
    <xf numFmtId="0" fontId="0" fillId="0" borderId="11" xfId="0" applyBorder="1" applyAlignment="1">
      <alignment/>
    </xf>
    <xf numFmtId="167" fontId="2" fillId="25" borderId="11" xfId="0" applyNumberFormat="1" applyFont="1" applyFill="1" applyBorder="1" applyAlignment="1">
      <alignment horizontal="center" vertical="top" wrapText="1"/>
    </xf>
    <xf numFmtId="167" fontId="6" fillId="25" borderId="11" xfId="0" applyNumberFormat="1" applyFont="1" applyFill="1" applyBorder="1" applyAlignment="1">
      <alignment horizontal="center" vertical="top" wrapText="1"/>
    </xf>
    <xf numFmtId="167" fontId="6" fillId="0" borderId="11" xfId="0" applyNumberFormat="1" applyFont="1" applyFill="1" applyBorder="1" applyAlignment="1">
      <alignment horizontal="center" vertical="top" wrapText="1"/>
    </xf>
    <xf numFmtId="167" fontId="6" fillId="25" borderId="11" xfId="0" applyNumberFormat="1" applyFont="1" applyFill="1" applyBorder="1" applyAlignment="1">
      <alignment horizontal="center"/>
    </xf>
    <xf numFmtId="164" fontId="6" fillId="0" borderId="0" xfId="0" applyNumberFormat="1" applyFont="1" applyAlignment="1">
      <alignment horizontal="center" vertical="center"/>
    </xf>
    <xf numFmtId="0" fontId="1" fillId="0" borderId="11" xfId="0" applyFont="1" applyFill="1" applyBorder="1" applyAlignment="1">
      <alignment horizontal="center" vertical="center" wrapText="1"/>
    </xf>
    <xf numFmtId="166" fontId="13" fillId="0" borderId="0" xfId="0" applyNumberFormat="1" applyFont="1" applyAlignment="1">
      <alignment/>
    </xf>
    <xf numFmtId="166" fontId="1" fillId="0" borderId="0" xfId="0" applyNumberFormat="1" applyFont="1" applyAlignment="1">
      <alignment horizontal="right" vertical="center"/>
    </xf>
    <xf numFmtId="166" fontId="2" fillId="0" borderId="0" xfId="0" applyNumberFormat="1" applyFont="1" applyAlignment="1">
      <alignment horizontal="right" vertical="center"/>
    </xf>
    <xf numFmtId="166" fontId="6" fillId="0" borderId="0" xfId="0" applyNumberFormat="1" applyFont="1" applyAlignment="1">
      <alignment vertical="center"/>
    </xf>
    <xf numFmtId="166" fontId="2" fillId="0" borderId="0" xfId="0" applyNumberFormat="1" applyFont="1" applyAlignment="1">
      <alignment horizontal="right" vertical="top"/>
    </xf>
    <xf numFmtId="166" fontId="1" fillId="0" borderId="13" xfId="0" applyNumberFormat="1" applyFont="1" applyFill="1" applyBorder="1" applyAlignment="1">
      <alignment horizontal="center" vertical="center" wrapText="1"/>
    </xf>
    <xf numFmtId="166" fontId="13" fillId="0" borderId="14" xfId="0" applyNumberFormat="1" applyFont="1" applyBorder="1" applyAlignment="1">
      <alignment/>
    </xf>
    <xf numFmtId="1" fontId="0" fillId="0" borderId="0" xfId="0" applyNumberFormat="1" applyFill="1" applyAlignment="1">
      <alignment/>
    </xf>
    <xf numFmtId="1" fontId="2" fillId="0" borderId="0" xfId="0" applyNumberFormat="1" applyFont="1" applyAlignment="1">
      <alignment horizontal="right" vertical="top"/>
    </xf>
    <xf numFmtId="166" fontId="6" fillId="0" borderId="0" xfId="0" applyNumberFormat="1" applyFont="1" applyAlignment="1">
      <alignment horizontal="center" vertical="center"/>
    </xf>
    <xf numFmtId="166" fontId="0" fillId="0" borderId="0" xfId="0" applyNumberFormat="1" applyAlignment="1">
      <alignment/>
    </xf>
    <xf numFmtId="166" fontId="2" fillId="0" borderId="13" xfId="0" applyNumberFormat="1" applyFont="1" applyFill="1" applyBorder="1" applyAlignment="1">
      <alignment horizontal="center" vertical="center" wrapText="1"/>
    </xf>
    <xf numFmtId="166" fontId="2" fillId="0" borderId="15" xfId="0" applyNumberFormat="1" applyFont="1" applyFill="1" applyBorder="1" applyAlignment="1">
      <alignment horizontal="center" vertical="center" wrapText="1"/>
    </xf>
    <xf numFmtId="166" fontId="6" fillId="0" borderId="11" xfId="0" applyNumberFormat="1" applyFont="1" applyBorder="1" applyAlignment="1">
      <alignment horizontal="center" vertical="center"/>
    </xf>
    <xf numFmtId="166" fontId="6" fillId="0" borderId="10" xfId="0" applyNumberFormat="1" applyFont="1" applyBorder="1" applyAlignment="1">
      <alignment horizontal="center" vertical="center"/>
    </xf>
    <xf numFmtId="166" fontId="13" fillId="0" borderId="11" xfId="0" applyNumberFormat="1" applyFont="1" applyBorder="1" applyAlignment="1">
      <alignment horizontal="center" vertical="center"/>
    </xf>
    <xf numFmtId="166" fontId="6" fillId="0" borderId="0" xfId="0" applyNumberFormat="1" applyFont="1" applyBorder="1" applyAlignment="1">
      <alignment horizontal="center" vertical="center"/>
    </xf>
    <xf numFmtId="166" fontId="13" fillId="0" borderId="0" xfId="0" applyNumberFormat="1" applyFont="1" applyBorder="1" applyAlignment="1">
      <alignment/>
    </xf>
    <xf numFmtId="166" fontId="1" fillId="0" borderId="16" xfId="0" applyNumberFormat="1" applyFont="1" applyFill="1" applyBorder="1" applyAlignment="1">
      <alignment horizontal="center" vertical="center" wrapText="1"/>
    </xf>
    <xf numFmtId="0" fontId="1" fillId="24" borderId="13" xfId="0" applyFont="1" applyFill="1" applyBorder="1" applyAlignment="1">
      <alignment horizontal="center" vertical="top" wrapText="1"/>
    </xf>
    <xf numFmtId="166" fontId="1" fillId="0" borderId="15" xfId="0" applyNumberFormat="1" applyFont="1" applyFill="1" applyBorder="1" applyAlignment="1">
      <alignment horizontal="center" vertical="center" wrapText="1"/>
    </xf>
    <xf numFmtId="166" fontId="6" fillId="0" borderId="17" xfId="0" applyNumberFormat="1" applyFont="1" applyBorder="1" applyAlignment="1">
      <alignment horizontal="center" vertical="center"/>
    </xf>
    <xf numFmtId="0" fontId="9" fillId="24" borderId="0" xfId="0" applyFont="1" applyFill="1" applyBorder="1" applyAlignment="1">
      <alignment wrapText="1"/>
    </xf>
    <xf numFmtId="0" fontId="26" fillId="0" borderId="0" xfId="0" applyFont="1" applyAlignment="1">
      <alignment horizontal="center" vertical="center"/>
    </xf>
    <xf numFmtId="166" fontId="6" fillId="0" borderId="11" xfId="0" applyNumberFormat="1" applyFont="1" applyBorder="1" applyAlignment="1">
      <alignment horizontal="center" vertical="center"/>
    </xf>
    <xf numFmtId="166" fontId="6" fillId="0" borderId="11" xfId="0" applyNumberFormat="1" applyFont="1" applyBorder="1" applyAlignment="1">
      <alignment/>
    </xf>
    <xf numFmtId="0" fontId="2" fillId="24" borderId="18" xfId="0" applyFont="1" applyFill="1" applyBorder="1" applyAlignment="1">
      <alignment horizontal="center" vertical="top" wrapText="1"/>
    </xf>
    <xf numFmtId="0" fontId="1" fillId="24" borderId="19" xfId="0" applyFont="1" applyFill="1" applyBorder="1" applyAlignment="1">
      <alignment horizontal="center" vertical="top" wrapText="1"/>
    </xf>
    <xf numFmtId="0" fontId="2" fillId="24" borderId="19" xfId="0" applyFont="1" applyFill="1" applyBorder="1" applyAlignment="1">
      <alignment horizontal="center" vertical="center" wrapText="1"/>
    </xf>
    <xf numFmtId="166" fontId="1" fillId="0" borderId="18" xfId="0" applyNumberFormat="1" applyFont="1" applyFill="1" applyBorder="1" applyAlignment="1">
      <alignment horizontal="center" vertical="center" wrapText="1"/>
    </xf>
    <xf numFmtId="2" fontId="2" fillId="24" borderId="11" xfId="0" applyNumberFormat="1" applyFont="1" applyFill="1" applyBorder="1" applyAlignment="1">
      <alignment horizontal="center" vertical="center" wrapText="1"/>
    </xf>
    <xf numFmtId="165" fontId="13" fillId="0" borderId="14" xfId="0" applyNumberFormat="1" applyFont="1" applyBorder="1" applyAlignment="1">
      <alignment/>
    </xf>
    <xf numFmtId="165" fontId="13" fillId="0" borderId="11" xfId="0" applyNumberFormat="1" applyFont="1" applyBorder="1" applyAlignment="1">
      <alignment vertical="center"/>
    </xf>
    <xf numFmtId="165" fontId="13" fillId="0" borderId="20" xfId="0" applyNumberFormat="1" applyFont="1" applyBorder="1" applyAlignment="1">
      <alignment/>
    </xf>
    <xf numFmtId="0" fontId="16" fillId="0" borderId="0" xfId="0" applyFont="1" applyAlignment="1">
      <alignment/>
    </xf>
    <xf numFmtId="0" fontId="26" fillId="0" borderId="0" xfId="0" applyFont="1" applyAlignment="1">
      <alignment/>
    </xf>
    <xf numFmtId="165" fontId="6" fillId="0" borderId="11" xfId="0" applyNumberFormat="1" applyFont="1" applyBorder="1" applyAlignment="1">
      <alignment/>
    </xf>
    <xf numFmtId="0" fontId="0" fillId="0" borderId="0" xfId="0" applyAlignment="1">
      <alignment horizontal="right" vertical="center"/>
    </xf>
    <xf numFmtId="165" fontId="6" fillId="0" borderId="10" xfId="0" applyNumberFormat="1" applyFont="1" applyBorder="1" applyAlignment="1">
      <alignment/>
    </xf>
    <xf numFmtId="166" fontId="13" fillId="0" borderId="11" xfId="0" applyNumberFormat="1" applyFont="1" applyFill="1" applyBorder="1" applyAlignment="1">
      <alignment/>
    </xf>
    <xf numFmtId="0" fontId="1" fillId="0" borderId="0" xfId="0" applyFont="1" applyBorder="1" applyAlignment="1">
      <alignment/>
    </xf>
    <xf numFmtId="0" fontId="22" fillId="0" borderId="0" xfId="0" applyFont="1" applyAlignment="1">
      <alignment/>
    </xf>
    <xf numFmtId="165" fontId="13" fillId="0" borderId="11" xfId="0" applyNumberFormat="1" applyFont="1" applyFill="1" applyBorder="1" applyAlignment="1">
      <alignment/>
    </xf>
    <xf numFmtId="165" fontId="1" fillId="24" borderId="11" xfId="0" applyNumberFormat="1" applyFont="1" applyFill="1" applyBorder="1" applyAlignment="1">
      <alignment vertical="top" wrapText="1"/>
    </xf>
    <xf numFmtId="165" fontId="13" fillId="0" borderId="11" xfId="0" applyNumberFormat="1" applyFont="1" applyBorder="1" applyAlignment="1">
      <alignment horizontal="center"/>
    </xf>
    <xf numFmtId="165" fontId="6" fillId="0" borderId="11" xfId="0" applyNumberFormat="1" applyFont="1" applyBorder="1" applyAlignment="1">
      <alignment horizontal="center"/>
    </xf>
    <xf numFmtId="0" fontId="0" fillId="0" borderId="0" xfId="0" applyFill="1" applyBorder="1" applyAlignment="1">
      <alignment/>
    </xf>
    <xf numFmtId="4" fontId="13" fillId="0" borderId="14" xfId="0" applyNumberFormat="1" applyFont="1" applyFill="1" applyBorder="1" applyAlignment="1">
      <alignment vertical="center"/>
    </xf>
    <xf numFmtId="4" fontId="13" fillId="0" borderId="20" xfId="0" applyNumberFormat="1" applyFont="1" applyFill="1" applyBorder="1" applyAlignment="1">
      <alignment vertical="center"/>
    </xf>
    <xf numFmtId="0" fontId="28" fillId="0" borderId="0" xfId="0" applyFont="1" applyAlignment="1">
      <alignment/>
    </xf>
    <xf numFmtId="9" fontId="0" fillId="0" borderId="0" xfId="0" applyNumberFormat="1" applyAlignment="1">
      <alignment/>
    </xf>
    <xf numFmtId="9" fontId="0" fillId="0" borderId="21" xfId="0" applyNumberFormat="1" applyBorder="1" applyAlignment="1">
      <alignment/>
    </xf>
    <xf numFmtId="166" fontId="13" fillId="0" borderId="17" xfId="0" applyNumberFormat="1" applyFont="1" applyBorder="1" applyAlignment="1">
      <alignment horizontal="center" vertical="center"/>
    </xf>
    <xf numFmtId="165" fontId="6" fillId="0" borderId="0" xfId="0" applyNumberFormat="1" applyFont="1" applyBorder="1" applyAlignment="1">
      <alignment/>
    </xf>
    <xf numFmtId="165" fontId="13" fillId="0" borderId="0" xfId="0" applyNumberFormat="1" applyFont="1" applyBorder="1" applyAlignment="1">
      <alignment/>
    </xf>
    <xf numFmtId="0" fontId="6" fillId="0" borderId="0" xfId="0" applyFont="1" applyBorder="1" applyAlignment="1">
      <alignment/>
    </xf>
    <xf numFmtId="166" fontId="2" fillId="0" borderId="18" xfId="0" applyNumberFormat="1" applyFont="1" applyFill="1" applyBorder="1" applyAlignment="1">
      <alignment horizontal="center" vertical="center" wrapText="1"/>
    </xf>
    <xf numFmtId="2" fontId="0" fillId="0" borderId="0" xfId="0" applyNumberFormat="1" applyAlignment="1">
      <alignment/>
    </xf>
    <xf numFmtId="166" fontId="6" fillId="0" borderId="11" xfId="0" applyNumberFormat="1" applyFont="1" applyFill="1" applyBorder="1" applyAlignment="1">
      <alignment horizontal="center" vertical="center"/>
    </xf>
    <xf numFmtId="165" fontId="6" fillId="0" borderId="11" xfId="0" applyNumberFormat="1" applyFont="1" applyFill="1" applyBorder="1" applyAlignment="1">
      <alignment/>
    </xf>
    <xf numFmtId="165" fontId="13" fillId="0" borderId="11" xfId="0" applyNumberFormat="1" applyFont="1" applyFill="1" applyBorder="1" applyAlignment="1">
      <alignment horizontal="center"/>
    </xf>
    <xf numFmtId="166" fontId="13" fillId="0" borderId="11" xfId="0" applyNumberFormat="1" applyFont="1" applyFill="1" applyBorder="1" applyAlignment="1">
      <alignment horizontal="center" vertical="center"/>
    </xf>
    <xf numFmtId="9" fontId="0" fillId="0" borderId="0" xfId="0" applyNumberFormat="1" applyFill="1" applyAlignment="1">
      <alignment/>
    </xf>
    <xf numFmtId="2" fontId="6" fillId="0" borderId="11" xfId="0" applyNumberFormat="1" applyFont="1" applyBorder="1" applyAlignment="1">
      <alignment/>
    </xf>
    <xf numFmtId="4" fontId="13" fillId="0" borderId="22" xfId="0" applyNumberFormat="1" applyFont="1" applyFill="1" applyBorder="1" applyAlignment="1">
      <alignment vertical="center"/>
    </xf>
    <xf numFmtId="4" fontId="0" fillId="0" borderId="0" xfId="0" applyNumberFormat="1" applyAlignment="1">
      <alignment/>
    </xf>
    <xf numFmtId="2" fontId="6" fillId="0" borderId="11" xfId="0" applyNumberFormat="1" applyFont="1" applyBorder="1" applyAlignment="1">
      <alignment horizontal="center"/>
    </xf>
    <xf numFmtId="0" fontId="0" fillId="0" borderId="0" xfId="0" applyFont="1" applyAlignment="1">
      <alignment/>
    </xf>
    <xf numFmtId="9" fontId="0" fillId="0" borderId="0" xfId="0" applyNumberFormat="1" applyFont="1" applyAlignment="1">
      <alignment/>
    </xf>
    <xf numFmtId="166" fontId="13" fillId="0" borderId="14" xfId="0" applyNumberFormat="1" applyFont="1" applyFill="1" applyBorder="1" applyAlignment="1">
      <alignment/>
    </xf>
    <xf numFmtId="165" fontId="6" fillId="0" borderId="10" xfId="0" applyNumberFormat="1" applyFont="1" applyFill="1" applyBorder="1" applyAlignment="1">
      <alignment/>
    </xf>
    <xf numFmtId="0" fontId="13" fillId="24" borderId="11" xfId="0" applyFont="1" applyFill="1" applyBorder="1" applyAlignment="1">
      <alignment horizontal="center" vertical="center" wrapText="1"/>
    </xf>
    <xf numFmtId="0" fontId="13" fillId="25" borderId="11" xfId="0" applyFont="1" applyFill="1" applyBorder="1" applyAlignment="1">
      <alignment horizontal="center" vertical="top" wrapText="1"/>
    </xf>
    <xf numFmtId="1" fontId="6" fillId="0" borderId="0" xfId="0" applyNumberFormat="1" applyFont="1" applyAlignment="1">
      <alignment/>
    </xf>
    <xf numFmtId="0" fontId="28" fillId="0" borderId="0" xfId="0" applyFont="1" applyBorder="1" applyAlignment="1">
      <alignment/>
    </xf>
    <xf numFmtId="0" fontId="29" fillId="0" borderId="0" xfId="0" applyFont="1" applyBorder="1" applyAlignment="1">
      <alignment/>
    </xf>
    <xf numFmtId="2" fontId="6" fillId="0" borderId="11" xfId="0" applyNumberFormat="1" applyFont="1" applyBorder="1" applyAlignment="1">
      <alignment horizontal="center" vertical="center"/>
    </xf>
    <xf numFmtId="0" fontId="12" fillId="0" borderId="0" xfId="0" applyFont="1" applyAlignment="1">
      <alignment horizontal="left"/>
    </xf>
    <xf numFmtId="2" fontId="12" fillId="0" borderId="0" xfId="0" applyNumberFormat="1" applyFont="1" applyAlignment="1">
      <alignment/>
    </xf>
    <xf numFmtId="0" fontId="1" fillId="24" borderId="23" xfId="0" applyFont="1" applyFill="1" applyBorder="1" applyAlignment="1">
      <alignment vertical="top" wrapText="1"/>
    </xf>
    <xf numFmtId="0" fontId="2" fillId="24" borderId="23" xfId="0" applyFont="1" applyFill="1" applyBorder="1" applyAlignment="1">
      <alignment horizontal="left" vertical="top" wrapText="1"/>
    </xf>
    <xf numFmtId="0" fontId="2" fillId="24" borderId="24" xfId="0" applyFont="1" applyFill="1" applyBorder="1" applyAlignment="1">
      <alignment vertical="top" wrapText="1"/>
    </xf>
    <xf numFmtId="0" fontId="2" fillId="24" borderId="23" xfId="0" applyFont="1" applyFill="1" applyBorder="1" applyAlignment="1">
      <alignment vertical="top" wrapText="1"/>
    </xf>
    <xf numFmtId="0" fontId="2" fillId="24" borderId="25" xfId="0" applyFont="1" applyFill="1" applyBorder="1" applyAlignment="1">
      <alignment vertical="top" wrapText="1"/>
    </xf>
    <xf numFmtId="0" fontId="6" fillId="0" borderId="26" xfId="0" applyFont="1" applyBorder="1" applyAlignment="1">
      <alignment horizontal="left"/>
    </xf>
    <xf numFmtId="0" fontId="6" fillId="0" borderId="27" xfId="0" applyFont="1" applyBorder="1" applyAlignment="1">
      <alignment horizontal="left"/>
    </xf>
    <xf numFmtId="0" fontId="6" fillId="0" borderId="28" xfId="0" applyFont="1" applyBorder="1" applyAlignment="1">
      <alignment horizontal="left"/>
    </xf>
    <xf numFmtId="0" fontId="0" fillId="0" borderId="0" xfId="0" applyFill="1" applyAlignment="1">
      <alignment/>
    </xf>
    <xf numFmtId="166" fontId="13" fillId="0" borderId="0" xfId="0" applyNumberFormat="1" applyFont="1" applyFill="1" applyAlignment="1">
      <alignment/>
    </xf>
    <xf numFmtId="0" fontId="6" fillId="0" borderId="0" xfId="0" applyFont="1" applyFill="1" applyAlignment="1">
      <alignment/>
    </xf>
    <xf numFmtId="166" fontId="6" fillId="0" borderId="0" xfId="0" applyNumberFormat="1" applyFont="1" applyFill="1" applyAlignment="1">
      <alignment horizontal="center" vertical="center"/>
    </xf>
    <xf numFmtId="0" fontId="6" fillId="0" borderId="11" xfId="0" applyFont="1" applyFill="1" applyBorder="1" applyAlignment="1">
      <alignment/>
    </xf>
    <xf numFmtId="0" fontId="26" fillId="0" borderId="0" xfId="0" applyFont="1" applyFill="1" applyAlignment="1">
      <alignment horizontal="left"/>
    </xf>
    <xf numFmtId="0" fontId="9" fillId="0" borderId="0" xfId="0" applyFont="1" applyFill="1" applyBorder="1" applyAlignment="1">
      <alignment wrapText="1"/>
    </xf>
    <xf numFmtId="0" fontId="26"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right" vertical="center"/>
    </xf>
    <xf numFmtId="166" fontId="6" fillId="0" borderId="0" xfId="0" applyNumberFormat="1" applyFont="1" applyFill="1" applyAlignment="1">
      <alignment horizontal="right" vertical="top"/>
    </xf>
    <xf numFmtId="166" fontId="6" fillId="0" borderId="18" xfId="0" applyNumberFormat="1" applyFont="1" applyFill="1" applyBorder="1" applyAlignment="1">
      <alignment horizontal="center" vertical="center" wrapText="1"/>
    </xf>
    <xf numFmtId="0" fontId="26" fillId="0" borderId="0" xfId="0" applyFont="1" applyFill="1" applyBorder="1" applyAlignment="1">
      <alignment wrapText="1"/>
    </xf>
    <xf numFmtId="4" fontId="0" fillId="0" borderId="0" xfId="0" applyNumberFormat="1" applyFont="1" applyFill="1" applyAlignment="1">
      <alignment/>
    </xf>
    <xf numFmtId="0" fontId="6" fillId="0" borderId="29" xfId="0" applyFont="1" applyFill="1" applyBorder="1" applyAlignment="1">
      <alignment vertical="top" wrapText="1"/>
    </xf>
    <xf numFmtId="165" fontId="13" fillId="0" borderId="20" xfId="0" applyNumberFormat="1" applyFont="1" applyFill="1" applyBorder="1" applyAlignment="1">
      <alignment/>
    </xf>
    <xf numFmtId="0" fontId="6" fillId="0" borderId="24" xfId="0" applyFont="1" applyFill="1" applyBorder="1" applyAlignment="1">
      <alignment vertical="top" wrapText="1"/>
    </xf>
    <xf numFmtId="165" fontId="13" fillId="0" borderId="14" xfId="0" applyNumberFormat="1" applyFont="1" applyFill="1" applyBorder="1" applyAlignment="1">
      <alignment/>
    </xf>
    <xf numFmtId="0" fontId="6" fillId="0" borderId="30" xfId="0" applyFont="1" applyFill="1" applyBorder="1" applyAlignment="1">
      <alignment vertical="top" wrapText="1"/>
    </xf>
    <xf numFmtId="0" fontId="6" fillId="0" borderId="31" xfId="0" applyFont="1" applyFill="1" applyBorder="1" applyAlignment="1">
      <alignment vertical="top" wrapText="1"/>
    </xf>
    <xf numFmtId="165" fontId="13" fillId="0" borderId="22" xfId="0" applyNumberFormat="1" applyFont="1" applyFill="1" applyBorder="1" applyAlignment="1">
      <alignment/>
    </xf>
    <xf numFmtId="0" fontId="12" fillId="0" borderId="0" xfId="0" applyFont="1" applyFill="1" applyAlignment="1">
      <alignment horizontal="left"/>
    </xf>
    <xf numFmtId="0" fontId="6" fillId="0" borderId="0" xfId="0" applyFont="1" applyFill="1" applyAlignment="1">
      <alignment horizontal="left"/>
    </xf>
    <xf numFmtId="0" fontId="13" fillId="0" borderId="13"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32" xfId="0" applyFont="1" applyFill="1" applyBorder="1" applyAlignment="1">
      <alignment horizontal="left"/>
    </xf>
    <xf numFmtId="0" fontId="6" fillId="0" borderId="33" xfId="0" applyFont="1" applyFill="1" applyBorder="1" applyAlignment="1">
      <alignment horizontal="left"/>
    </xf>
    <xf numFmtId="0" fontId="6" fillId="0" borderId="34" xfId="0" applyFont="1" applyFill="1" applyBorder="1" applyAlignment="1">
      <alignment vertical="top" wrapText="1"/>
    </xf>
    <xf numFmtId="165" fontId="13" fillId="0" borderId="35" xfId="0" applyNumberFormat="1" applyFont="1" applyFill="1" applyBorder="1" applyAlignment="1">
      <alignment/>
    </xf>
    <xf numFmtId="0" fontId="6" fillId="0" borderId="28"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24" xfId="0" applyFont="1" applyFill="1" applyBorder="1" applyAlignment="1">
      <alignment/>
    </xf>
    <xf numFmtId="0" fontId="6" fillId="0" borderId="36" xfId="0" applyFont="1" applyFill="1" applyBorder="1" applyAlignment="1">
      <alignment vertical="top" wrapText="1"/>
    </xf>
    <xf numFmtId="0" fontId="6" fillId="0" borderId="24" xfId="0" applyFont="1" applyFill="1" applyBorder="1" applyAlignment="1">
      <alignment horizontal="left" vertical="top" wrapText="1" indent="10"/>
    </xf>
    <xf numFmtId="0" fontId="6" fillId="0" borderId="26" xfId="0" applyFont="1" applyFill="1" applyBorder="1" applyAlignment="1">
      <alignment horizontal="left"/>
    </xf>
    <xf numFmtId="0" fontId="6" fillId="0" borderId="37" xfId="0" applyFont="1" applyFill="1" applyBorder="1" applyAlignment="1">
      <alignment horizontal="left"/>
    </xf>
    <xf numFmtId="165" fontId="13" fillId="0" borderId="38" xfId="0" applyNumberFormat="1" applyFont="1" applyFill="1" applyBorder="1" applyAlignment="1">
      <alignment/>
    </xf>
    <xf numFmtId="14" fontId="13" fillId="0" borderId="13" xfId="0" applyNumberFormat="1" applyFont="1" applyFill="1" applyBorder="1" applyAlignment="1">
      <alignment horizontal="left"/>
    </xf>
    <xf numFmtId="0" fontId="6" fillId="0" borderId="18" xfId="0" applyFont="1" applyFill="1" applyBorder="1" applyAlignment="1">
      <alignment horizontal="left"/>
    </xf>
    <xf numFmtId="0" fontId="6" fillId="0" borderId="39" xfId="0" applyFont="1" applyFill="1" applyBorder="1" applyAlignment="1">
      <alignment vertical="top" wrapText="1"/>
    </xf>
    <xf numFmtId="165" fontId="13" fillId="0" borderId="14" xfId="0" applyNumberFormat="1" applyFont="1" applyFill="1" applyBorder="1" applyAlignment="1">
      <alignment vertical="center"/>
    </xf>
    <xf numFmtId="0" fontId="13" fillId="0" borderId="13" xfId="0" applyNumberFormat="1" applyFont="1" applyFill="1" applyBorder="1" applyAlignment="1">
      <alignment horizontal="left" vertical="top" wrapText="1"/>
    </xf>
    <xf numFmtId="16" fontId="6" fillId="0" borderId="33" xfId="0" applyNumberFormat="1" applyFont="1" applyFill="1" applyBorder="1" applyAlignment="1">
      <alignment horizontal="left" vertical="top" wrapText="1"/>
    </xf>
    <xf numFmtId="0" fontId="6" fillId="0" borderId="28" xfId="0" applyFont="1" applyFill="1" applyBorder="1" applyAlignment="1">
      <alignment horizontal="left"/>
    </xf>
    <xf numFmtId="0" fontId="6" fillId="0" borderId="40" xfId="0" applyFont="1" applyFill="1" applyBorder="1" applyAlignment="1">
      <alignment horizontal="left"/>
    </xf>
    <xf numFmtId="165" fontId="13" fillId="0" borderId="22" xfId="0" applyNumberFormat="1" applyFont="1" applyBorder="1" applyAlignment="1">
      <alignment/>
    </xf>
    <xf numFmtId="0" fontId="6" fillId="0" borderId="0" xfId="0" applyFont="1" applyAlignment="1">
      <alignment horizontal="left"/>
    </xf>
    <xf numFmtId="0" fontId="1" fillId="24" borderId="13" xfId="0" applyFont="1" applyFill="1" applyBorder="1" applyAlignment="1">
      <alignment horizontal="left" vertical="top" wrapText="1"/>
    </xf>
    <xf numFmtId="1" fontId="2" fillId="24" borderId="32" xfId="0" applyNumberFormat="1" applyFont="1" applyFill="1" applyBorder="1" applyAlignment="1">
      <alignment horizontal="left" vertical="top" wrapText="1"/>
    </xf>
    <xf numFmtId="1" fontId="6" fillId="24" borderId="32" xfId="0" applyNumberFormat="1" applyFont="1" applyFill="1" applyBorder="1" applyAlignment="1">
      <alignment horizontal="left" vertical="top" wrapText="1"/>
    </xf>
    <xf numFmtId="0" fontId="6" fillId="0" borderId="32" xfId="0" applyFont="1" applyBorder="1" applyAlignment="1">
      <alignment horizontal="left"/>
    </xf>
    <xf numFmtId="165" fontId="13" fillId="0" borderId="38" xfId="0" applyNumberFormat="1" applyFont="1" applyBorder="1" applyAlignment="1">
      <alignment/>
    </xf>
    <xf numFmtId="0" fontId="1" fillId="24" borderId="18" xfId="0" applyFont="1" applyFill="1" applyBorder="1" applyAlignment="1">
      <alignment horizontal="center" vertical="top" wrapText="1"/>
    </xf>
    <xf numFmtId="0" fontId="2" fillId="24" borderId="41" xfId="0" applyFont="1" applyFill="1" applyBorder="1" applyAlignment="1">
      <alignment vertical="top" wrapText="1"/>
    </xf>
    <xf numFmtId="14" fontId="2" fillId="24" borderId="32" xfId="0" applyNumberFormat="1" applyFont="1" applyFill="1" applyBorder="1" applyAlignment="1">
      <alignment horizontal="left" vertical="top" wrapText="1"/>
    </xf>
    <xf numFmtId="0" fontId="6" fillId="24" borderId="32" xfId="0" applyFont="1" applyFill="1" applyBorder="1" applyAlignment="1">
      <alignment horizontal="left" vertical="top" wrapText="1"/>
    </xf>
    <xf numFmtId="0" fontId="2" fillId="24" borderId="32" xfId="0" applyFont="1" applyFill="1" applyBorder="1" applyAlignment="1">
      <alignment horizontal="left" vertical="top" wrapText="1"/>
    </xf>
    <xf numFmtId="14" fontId="6" fillId="24" borderId="32" xfId="0" applyNumberFormat="1" applyFont="1" applyFill="1" applyBorder="1" applyAlignment="1">
      <alignment horizontal="left" vertical="top" wrapText="1"/>
    </xf>
    <xf numFmtId="0" fontId="22" fillId="0" borderId="13" xfId="0" applyFont="1" applyBorder="1" applyAlignment="1">
      <alignment horizontal="left"/>
    </xf>
    <xf numFmtId="0" fontId="6" fillId="24" borderId="24" xfId="0" applyFont="1" applyFill="1" applyBorder="1" applyAlignment="1">
      <alignment vertical="top" wrapText="1"/>
    </xf>
    <xf numFmtId="0" fontId="6" fillId="24" borderId="30" xfId="0" applyFont="1" applyFill="1" applyBorder="1" applyAlignment="1">
      <alignment vertical="top" wrapText="1"/>
    </xf>
    <xf numFmtId="165" fontId="6" fillId="0" borderId="14" xfId="0" applyNumberFormat="1" applyFont="1" applyBorder="1" applyAlignment="1">
      <alignment/>
    </xf>
    <xf numFmtId="0" fontId="6" fillId="0" borderId="23" xfId="0" applyFont="1" applyBorder="1" applyAlignment="1">
      <alignment/>
    </xf>
    <xf numFmtId="0" fontId="2" fillId="24" borderId="23" xfId="0" applyFont="1" applyFill="1" applyBorder="1" applyAlignment="1">
      <alignment horizontal="left" vertical="top" wrapText="1" indent="2"/>
    </xf>
    <xf numFmtId="0" fontId="1" fillId="0" borderId="23" xfId="0" applyFont="1" applyFill="1" applyBorder="1" applyAlignment="1">
      <alignment vertical="top" wrapText="1"/>
    </xf>
    <xf numFmtId="0" fontId="13" fillId="24" borderId="23" xfId="0" applyFont="1" applyFill="1" applyBorder="1" applyAlignment="1">
      <alignment vertical="top" wrapText="1"/>
    </xf>
    <xf numFmtId="0" fontId="2" fillId="24" borderId="26" xfId="0" applyFont="1" applyFill="1" applyBorder="1" applyAlignment="1">
      <alignment horizontal="left" vertical="top" wrapText="1"/>
    </xf>
    <xf numFmtId="0" fontId="2" fillId="0" borderId="32" xfId="0" applyFont="1" applyFill="1" applyBorder="1" applyAlignment="1">
      <alignment horizontal="left" vertical="top" wrapText="1"/>
    </xf>
    <xf numFmtId="0" fontId="6" fillId="0" borderId="40" xfId="0" applyFont="1" applyBorder="1" applyAlignment="1">
      <alignment horizontal="left"/>
    </xf>
    <xf numFmtId="2" fontId="6" fillId="0" borderId="0" xfId="0" applyNumberFormat="1" applyFont="1" applyAlignment="1">
      <alignment horizontal="center" vertical="center"/>
    </xf>
    <xf numFmtId="2" fontId="2" fillId="24" borderId="19" xfId="0" applyNumberFormat="1" applyFont="1" applyFill="1" applyBorder="1" applyAlignment="1">
      <alignment horizontal="center" vertical="center" wrapText="1"/>
    </xf>
    <xf numFmtId="2" fontId="6" fillId="24" borderId="1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2" fillId="24" borderId="10" xfId="0" applyNumberFormat="1" applyFont="1" applyFill="1" applyBorder="1" applyAlignment="1">
      <alignment horizontal="center" vertical="center" wrapText="1"/>
    </xf>
    <xf numFmtId="2" fontId="1" fillId="24"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2" fontId="13" fillId="24" borderId="11" xfId="0" applyNumberFormat="1" applyFont="1" applyFill="1" applyBorder="1" applyAlignment="1">
      <alignment horizontal="center" vertical="center" wrapText="1"/>
    </xf>
    <xf numFmtId="0" fontId="6" fillId="0" borderId="11" xfId="0" applyFont="1" applyBorder="1" applyAlignment="1">
      <alignment horizontal="center" vertical="top" wrapText="1"/>
    </xf>
    <xf numFmtId="0" fontId="6" fillId="0" borderId="11" xfId="0" applyFont="1" applyBorder="1" applyAlignment="1">
      <alignment horizontal="center" wrapText="1"/>
    </xf>
    <xf numFmtId="166" fontId="6" fillId="0" borderId="0" xfId="0" applyNumberFormat="1" applyFont="1" applyAlignment="1">
      <alignment horizontal="center"/>
    </xf>
    <xf numFmtId="0" fontId="6" fillId="0" borderId="0" xfId="0" applyFont="1" applyBorder="1" applyAlignment="1">
      <alignment horizontal="center"/>
    </xf>
    <xf numFmtId="0" fontId="10" fillId="0" borderId="0" xfId="0" applyFont="1" applyAlignment="1">
      <alignment/>
    </xf>
    <xf numFmtId="0" fontId="9" fillId="0" borderId="0" xfId="0" applyFont="1" applyBorder="1" applyAlignment="1">
      <alignment/>
    </xf>
    <xf numFmtId="0" fontId="26" fillId="0" borderId="0" xfId="0" applyFont="1" applyBorder="1" applyAlignment="1">
      <alignment/>
    </xf>
    <xf numFmtId="0" fontId="6" fillId="0" borderId="0" xfId="0" applyFont="1" applyFill="1" applyAlignment="1">
      <alignment horizontal="center" vertical="center"/>
    </xf>
    <xf numFmtId="0" fontId="2" fillId="0" borderId="0" xfId="0" applyFont="1" applyAlignment="1">
      <alignment horizontal="left"/>
    </xf>
    <xf numFmtId="0" fontId="0" fillId="0" borderId="0" xfId="0" applyBorder="1" applyAlignment="1">
      <alignment horizontal="left"/>
    </xf>
    <xf numFmtId="166" fontId="13" fillId="0" borderId="0" xfId="0" applyNumberFormat="1" applyFont="1" applyBorder="1" applyAlignment="1">
      <alignment horizontal="left" vertical="center"/>
    </xf>
    <xf numFmtId="166" fontId="6" fillId="0" borderId="0" xfId="0" applyNumberFormat="1" applyFont="1" applyBorder="1" applyAlignment="1">
      <alignment horizontal="left" vertical="center"/>
    </xf>
    <xf numFmtId="0" fontId="1" fillId="24" borderId="13" xfId="0" applyFont="1" applyFill="1" applyBorder="1" applyAlignment="1">
      <alignment vertical="top" wrapText="1"/>
    </xf>
    <xf numFmtId="165" fontId="13" fillId="0" borderId="14" xfId="0" applyNumberFormat="1" applyFont="1" applyBorder="1" applyAlignment="1">
      <alignment horizontal="center"/>
    </xf>
    <xf numFmtId="165" fontId="13" fillId="0" borderId="42" xfId="0" applyNumberFormat="1" applyFont="1" applyBorder="1" applyAlignment="1">
      <alignment horizontal="center"/>
    </xf>
    <xf numFmtId="0" fontId="2" fillId="24" borderId="33" xfId="0" applyFont="1" applyFill="1" applyBorder="1" applyAlignment="1">
      <alignment horizontal="left" vertical="top" wrapText="1"/>
    </xf>
    <xf numFmtId="0" fontId="50" fillId="0" borderId="0" xfId="0" applyFont="1" applyAlignment="1">
      <alignment/>
    </xf>
    <xf numFmtId="0" fontId="0" fillId="0" borderId="0" xfId="0" applyFont="1" applyBorder="1" applyAlignment="1">
      <alignment/>
    </xf>
    <xf numFmtId="0" fontId="6" fillId="24" borderId="43" xfId="0" applyFont="1" applyFill="1" applyBorder="1" applyAlignment="1">
      <alignment horizontal="center" vertical="center" wrapText="1"/>
    </xf>
    <xf numFmtId="0" fontId="6" fillId="25" borderId="43" xfId="0" applyFont="1" applyFill="1" applyBorder="1" applyAlignment="1">
      <alignment horizontal="center" vertical="top" wrapText="1"/>
    </xf>
    <xf numFmtId="166" fontId="6" fillId="0" borderId="43" xfId="0" applyNumberFormat="1" applyFont="1" applyBorder="1" applyAlignment="1">
      <alignment horizontal="center" vertical="center"/>
    </xf>
    <xf numFmtId="0" fontId="1" fillId="24" borderId="27" xfId="0" applyFont="1" applyFill="1" applyBorder="1" applyAlignment="1">
      <alignment horizontal="left" vertical="top" wrapText="1"/>
    </xf>
    <xf numFmtId="14" fontId="1" fillId="24" borderId="13" xfId="0" applyNumberFormat="1" applyFont="1" applyFill="1" applyBorder="1" applyAlignment="1">
      <alignment horizontal="left" vertical="top" wrapText="1"/>
    </xf>
    <xf numFmtId="0" fontId="2" fillId="24" borderId="27" xfId="0" applyFont="1" applyFill="1" applyBorder="1" applyAlignment="1">
      <alignment horizontal="left" vertical="top" wrapText="1"/>
    </xf>
    <xf numFmtId="0" fontId="2" fillId="24" borderId="37" xfId="0" applyFont="1" applyFill="1" applyBorder="1" applyAlignment="1">
      <alignment horizontal="left" vertical="top" wrapText="1"/>
    </xf>
    <xf numFmtId="9" fontId="0" fillId="0" borderId="20" xfId="0" applyNumberFormat="1" applyBorder="1" applyAlignment="1">
      <alignment/>
    </xf>
    <xf numFmtId="0" fontId="0" fillId="0" borderId="14" xfId="0" applyBorder="1" applyAlignment="1">
      <alignment/>
    </xf>
    <xf numFmtId="165" fontId="1" fillId="24" borderId="14" xfId="0" applyNumberFormat="1" applyFont="1" applyFill="1" applyBorder="1" applyAlignment="1">
      <alignment vertical="top" wrapText="1"/>
    </xf>
    <xf numFmtId="165" fontId="13" fillId="0" borderId="14" xfId="0" applyNumberFormat="1" applyFont="1" applyFill="1" applyBorder="1" applyAlignment="1">
      <alignment horizontal="center"/>
    </xf>
    <xf numFmtId="16" fontId="2" fillId="24" borderId="32" xfId="0" applyNumberFormat="1" applyFont="1" applyFill="1" applyBorder="1" applyAlignment="1">
      <alignment horizontal="left" vertical="top" wrapText="1"/>
    </xf>
    <xf numFmtId="165" fontId="13" fillId="0" borderId="35" xfId="0" applyNumberFormat="1" applyFont="1" applyBorder="1" applyAlignment="1">
      <alignment/>
    </xf>
    <xf numFmtId="0" fontId="2" fillId="24" borderId="41" xfId="0" applyFont="1" applyFill="1" applyBorder="1" applyAlignment="1">
      <alignment horizontal="left" vertical="top" wrapText="1"/>
    </xf>
    <xf numFmtId="0" fontId="6" fillId="24" borderId="27" xfId="0" applyFont="1" applyFill="1" applyBorder="1" applyAlignment="1">
      <alignment horizontal="left" vertical="top" wrapText="1"/>
    </xf>
    <xf numFmtId="165" fontId="13" fillId="0" borderId="43" xfId="0" applyNumberFormat="1" applyFont="1" applyBorder="1" applyAlignment="1">
      <alignment/>
    </xf>
    <xf numFmtId="0" fontId="1" fillId="24" borderId="41" xfId="0" applyFont="1" applyFill="1" applyBorder="1" applyAlignment="1">
      <alignment vertical="top" wrapText="1"/>
    </xf>
    <xf numFmtId="0" fontId="2" fillId="0" borderId="44" xfId="0" applyFont="1" applyFill="1" applyBorder="1" applyAlignment="1">
      <alignment wrapText="1"/>
    </xf>
    <xf numFmtId="0" fontId="2" fillId="0" borderId="23" xfId="0" applyFont="1" applyFill="1" applyBorder="1" applyAlignment="1">
      <alignment wrapText="1"/>
    </xf>
    <xf numFmtId="0" fontId="2" fillId="0" borderId="25" xfId="0" applyFont="1" applyFill="1" applyBorder="1" applyAlignment="1">
      <alignment wrapText="1"/>
    </xf>
    <xf numFmtId="0" fontId="2" fillId="0" borderId="45" xfId="0" applyFont="1" applyFill="1" applyBorder="1" applyAlignment="1">
      <alignment vertical="center" wrapText="1"/>
    </xf>
    <xf numFmtId="0" fontId="13" fillId="0" borderId="18" xfId="0" applyFont="1" applyBorder="1" applyAlignment="1">
      <alignment horizontal="left"/>
    </xf>
    <xf numFmtId="0" fontId="13" fillId="0" borderId="40" xfId="0" applyFont="1" applyBorder="1" applyAlignment="1">
      <alignment horizontal="left"/>
    </xf>
    <xf numFmtId="1" fontId="2" fillId="0" borderId="0" xfId="0" applyNumberFormat="1" applyFont="1" applyFill="1" applyAlignment="1">
      <alignment horizontal="right" vertical="top"/>
    </xf>
    <xf numFmtId="0" fontId="6" fillId="0" borderId="17" xfId="0" applyFont="1" applyFill="1" applyBorder="1" applyAlignment="1">
      <alignment horizontal="center" vertical="center" wrapText="1"/>
    </xf>
    <xf numFmtId="0" fontId="6" fillId="0" borderId="11" xfId="0" applyFont="1" applyBorder="1" applyAlignment="1">
      <alignment wrapText="1"/>
    </xf>
    <xf numFmtId="0" fontId="1" fillId="24" borderId="46" xfId="0" applyFont="1" applyFill="1" applyBorder="1" applyAlignment="1">
      <alignment horizontal="center" vertical="top" wrapText="1"/>
    </xf>
    <xf numFmtId="0" fontId="2" fillId="24" borderId="11" xfId="0" applyFont="1" applyFill="1" applyBorder="1" applyAlignment="1">
      <alignment vertical="top" wrapText="1"/>
    </xf>
    <xf numFmtId="165" fontId="13" fillId="0" borderId="47" xfId="0" applyNumberFormat="1" applyFont="1" applyFill="1" applyBorder="1" applyAlignment="1">
      <alignment/>
    </xf>
    <xf numFmtId="0" fontId="6" fillId="0" borderId="48" xfId="0" applyFont="1" applyFill="1" applyBorder="1" applyAlignment="1">
      <alignment vertical="top" wrapText="1"/>
    </xf>
    <xf numFmtId="166" fontId="13" fillId="0" borderId="43" xfId="0" applyNumberFormat="1" applyFont="1" applyBorder="1" applyAlignment="1">
      <alignment/>
    </xf>
    <xf numFmtId="165" fontId="6" fillId="0" borderId="43" xfId="0" applyNumberFormat="1" applyFont="1" applyBorder="1" applyAlignment="1">
      <alignment/>
    </xf>
    <xf numFmtId="166" fontId="13" fillId="0" borderId="43" xfId="0" applyNumberFormat="1" applyFont="1" applyBorder="1" applyAlignment="1">
      <alignment horizontal="center" vertical="center"/>
    </xf>
    <xf numFmtId="0" fontId="13" fillId="25" borderId="49" xfId="0" applyFont="1" applyFill="1" applyBorder="1" applyAlignment="1">
      <alignment horizontal="center" vertical="top" wrapText="1"/>
    </xf>
    <xf numFmtId="166" fontId="13" fillId="0" borderId="49" xfId="0" applyNumberFormat="1" applyFont="1" applyBorder="1" applyAlignment="1">
      <alignment horizontal="center" vertical="center"/>
    </xf>
    <xf numFmtId="166" fontId="13" fillId="0" borderId="49" xfId="0" applyNumberFormat="1" applyFont="1" applyBorder="1" applyAlignment="1">
      <alignment/>
    </xf>
    <xf numFmtId="165" fontId="6" fillId="0" borderId="17" xfId="0" applyNumberFormat="1" applyFont="1" applyBorder="1" applyAlignment="1">
      <alignment horizontal="center"/>
    </xf>
    <xf numFmtId="0" fontId="2" fillId="24" borderId="15" xfId="0" applyFont="1" applyFill="1" applyBorder="1" applyAlignment="1">
      <alignment horizontal="center" vertical="center" wrapText="1"/>
    </xf>
    <xf numFmtId="0" fontId="2" fillId="24" borderId="50" xfId="0" applyFont="1" applyFill="1" applyBorder="1" applyAlignment="1">
      <alignment horizontal="left" vertical="top" wrapText="1"/>
    </xf>
    <xf numFmtId="0" fontId="6" fillId="24" borderId="30" xfId="0" applyFont="1" applyFill="1" applyBorder="1" applyAlignment="1">
      <alignment horizontal="left" vertical="top" wrapText="1"/>
    </xf>
    <xf numFmtId="0" fontId="2" fillId="24" borderId="30" xfId="0" applyFont="1" applyFill="1" applyBorder="1" applyAlignment="1">
      <alignment horizontal="left" vertical="top" wrapText="1"/>
    </xf>
    <xf numFmtId="16" fontId="2" fillId="24" borderId="30" xfId="0" applyNumberFormat="1" applyFont="1" applyFill="1" applyBorder="1" applyAlignment="1">
      <alignment horizontal="left" vertical="top" wrapText="1"/>
    </xf>
    <xf numFmtId="0" fontId="0" fillId="0" borderId="30" xfId="0" applyFont="1" applyBorder="1" applyAlignment="1">
      <alignment horizontal="left"/>
    </xf>
    <xf numFmtId="0" fontId="2" fillId="0" borderId="30" xfId="0" applyFont="1" applyFill="1" applyBorder="1" applyAlignment="1">
      <alignment horizontal="left" vertical="top" wrapText="1"/>
    </xf>
    <xf numFmtId="0" fontId="6" fillId="0" borderId="30" xfId="0" applyFont="1" applyFill="1" applyBorder="1" applyAlignment="1">
      <alignment horizontal="left" vertical="top" wrapText="1"/>
    </xf>
    <xf numFmtId="0" fontId="0" fillId="0" borderId="51" xfId="0" applyFont="1" applyBorder="1" applyAlignment="1">
      <alignment horizontal="left"/>
    </xf>
    <xf numFmtId="17" fontId="2" fillId="24" borderId="30" xfId="0" applyNumberFormat="1" applyFont="1" applyFill="1" applyBorder="1" applyAlignment="1">
      <alignment horizontal="left" vertical="top" wrapText="1"/>
    </xf>
    <xf numFmtId="0" fontId="13" fillId="24" borderId="30" xfId="0" applyFont="1" applyFill="1" applyBorder="1" applyAlignment="1">
      <alignment horizontal="left" vertical="top" wrapText="1"/>
    </xf>
    <xf numFmtId="165" fontId="6" fillId="0" borderId="30" xfId="0" applyNumberFormat="1" applyFont="1" applyBorder="1" applyAlignment="1">
      <alignment horizontal="left"/>
    </xf>
    <xf numFmtId="0" fontId="0" fillId="0" borderId="52" xfId="0" applyFont="1" applyBorder="1" applyAlignment="1">
      <alignment horizontal="left"/>
    </xf>
    <xf numFmtId="0" fontId="6" fillId="0" borderId="52" xfId="0" applyFont="1" applyBorder="1" applyAlignment="1">
      <alignment horizontal="left"/>
    </xf>
    <xf numFmtId="0" fontId="2" fillId="24" borderId="53" xfId="0" applyFont="1" applyFill="1" applyBorder="1" applyAlignment="1">
      <alignment horizontal="left" vertical="top" wrapText="1"/>
    </xf>
    <xf numFmtId="0" fontId="1" fillId="24" borderId="29" xfId="0" applyFont="1" applyFill="1" applyBorder="1" applyAlignment="1">
      <alignment vertical="top" wrapText="1"/>
    </xf>
    <xf numFmtId="0" fontId="1" fillId="24" borderId="24" xfId="0" applyFont="1" applyFill="1" applyBorder="1" applyAlignment="1">
      <alignment horizontal="left" vertical="top" wrapText="1" indent="14"/>
    </xf>
    <xf numFmtId="0" fontId="1" fillId="24" borderId="24" xfId="0" applyFont="1" applyFill="1" applyBorder="1" applyAlignment="1">
      <alignment vertical="top" wrapText="1"/>
    </xf>
    <xf numFmtId="0" fontId="2" fillId="24" borderId="54" xfId="0" applyFont="1" applyFill="1" applyBorder="1" applyAlignment="1">
      <alignment vertical="top" wrapText="1"/>
    </xf>
    <xf numFmtId="0" fontId="1" fillId="24" borderId="24" xfId="0" applyFont="1" applyFill="1" applyBorder="1" applyAlignment="1">
      <alignment horizontal="right" vertical="top" wrapText="1"/>
    </xf>
    <xf numFmtId="0" fontId="1" fillId="0" borderId="24" xfId="0" applyFont="1" applyFill="1" applyBorder="1" applyAlignment="1">
      <alignment vertical="top" wrapText="1"/>
    </xf>
    <xf numFmtId="17" fontId="1" fillId="24" borderId="24" xfId="0" applyNumberFormat="1" applyFont="1" applyFill="1" applyBorder="1" applyAlignment="1">
      <alignment vertical="top" wrapText="1"/>
    </xf>
    <xf numFmtId="0" fontId="1" fillId="24" borderId="24" xfId="0" applyFont="1" applyFill="1" applyBorder="1" applyAlignment="1">
      <alignment horizontal="center" vertical="top" wrapText="1"/>
    </xf>
    <xf numFmtId="0" fontId="1" fillId="24" borderId="34" xfId="0" applyFont="1" applyFill="1" applyBorder="1" applyAlignment="1">
      <alignment vertical="top" wrapText="1"/>
    </xf>
    <xf numFmtId="0" fontId="2" fillId="24" borderId="34" xfId="0" applyFont="1" applyFill="1" applyBorder="1" applyAlignment="1">
      <alignment vertical="top" wrapText="1"/>
    </xf>
    <xf numFmtId="0" fontId="1" fillId="24" borderId="54" xfId="0" applyFont="1" applyFill="1" applyBorder="1" applyAlignment="1">
      <alignment vertical="top" wrapText="1"/>
    </xf>
    <xf numFmtId="0" fontId="1" fillId="24" borderId="31" xfId="0" applyFont="1" applyFill="1" applyBorder="1" applyAlignment="1">
      <alignment vertical="top" wrapText="1"/>
    </xf>
    <xf numFmtId="0" fontId="26" fillId="0" borderId="30" xfId="0" applyFont="1" applyBorder="1" applyAlignment="1">
      <alignment horizontal="left"/>
    </xf>
    <xf numFmtId="0" fontId="0" fillId="0" borderId="36" xfId="0" applyFont="1" applyBorder="1" applyAlignment="1">
      <alignment horizontal="left"/>
    </xf>
    <xf numFmtId="2" fontId="26" fillId="0" borderId="0" xfId="0" applyNumberFormat="1" applyFont="1" applyFill="1" applyAlignment="1">
      <alignment horizontal="center" vertical="center"/>
    </xf>
    <xf numFmtId="0" fontId="3" fillId="0" borderId="0" xfId="0" applyFont="1" applyFill="1" applyAlignment="1">
      <alignment/>
    </xf>
    <xf numFmtId="2" fontId="3" fillId="0" borderId="0" xfId="0" applyNumberFormat="1" applyFont="1" applyFill="1" applyAlignment="1">
      <alignment/>
    </xf>
    <xf numFmtId="3" fontId="3" fillId="0" borderId="0" xfId="0" applyNumberFormat="1" applyFont="1" applyFill="1" applyAlignment="1">
      <alignment vertical="center"/>
    </xf>
    <xf numFmtId="0" fontId="3" fillId="0" borderId="0" xfId="0" applyFont="1" applyAlignment="1">
      <alignment/>
    </xf>
    <xf numFmtId="0" fontId="26" fillId="0" borderId="0" xfId="0" applyFont="1" applyFill="1" applyAlignment="1">
      <alignment horizontal="right"/>
    </xf>
    <xf numFmtId="3" fontId="51" fillId="0" borderId="0" xfId="0" applyNumberFormat="1" applyFont="1" applyFill="1" applyBorder="1" applyAlignment="1">
      <alignment vertical="center" wrapText="1"/>
    </xf>
    <xf numFmtId="0" fontId="3" fillId="0" borderId="0" xfId="0" applyFont="1" applyFill="1" applyBorder="1" applyAlignment="1">
      <alignment/>
    </xf>
    <xf numFmtId="0" fontId="6" fillId="0" borderId="15" xfId="0" applyFont="1" applyFill="1" applyBorder="1" applyAlignment="1">
      <alignment horizontal="center"/>
    </xf>
    <xf numFmtId="0" fontId="13" fillId="0" borderId="13" xfId="0" applyNumberFormat="1" applyFont="1" applyFill="1" applyBorder="1" applyAlignment="1">
      <alignment horizontal="center" vertical="top" wrapText="1"/>
    </xf>
    <xf numFmtId="0" fontId="13" fillId="0" borderId="46" xfId="0" applyNumberFormat="1" applyFont="1" applyFill="1" applyBorder="1" applyAlignment="1">
      <alignment horizontal="center" vertical="top" wrapText="1"/>
    </xf>
    <xf numFmtId="0" fontId="13" fillId="0" borderId="16" xfId="0" applyNumberFormat="1" applyFont="1" applyFill="1" applyBorder="1" applyAlignment="1">
      <alignment horizontal="center" vertical="center" wrapText="1"/>
    </xf>
    <xf numFmtId="0" fontId="13" fillId="0" borderId="51" xfId="0" applyFont="1" applyFill="1" applyBorder="1" applyAlignment="1">
      <alignment horizontal="left" vertical="top" wrapText="1"/>
    </xf>
    <xf numFmtId="14" fontId="13" fillId="0" borderId="51" xfId="0" applyNumberFormat="1" applyFont="1" applyFill="1" applyBorder="1" applyAlignment="1">
      <alignment horizontal="left"/>
    </xf>
    <xf numFmtId="14" fontId="13" fillId="0" borderId="55" xfId="0" applyNumberFormat="1" applyFont="1" applyFill="1" applyBorder="1" applyAlignment="1">
      <alignment horizontal="left"/>
    </xf>
    <xf numFmtId="0" fontId="2" fillId="24" borderId="46" xfId="0" applyFont="1" applyFill="1" applyBorder="1" applyAlignment="1">
      <alignment horizontal="center" vertical="top" wrapText="1"/>
    </xf>
    <xf numFmtId="2" fontId="2" fillId="24" borderId="15"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xf>
    <xf numFmtId="1" fontId="3" fillId="0" borderId="0" xfId="0" applyNumberFormat="1" applyFont="1" applyAlignment="1">
      <alignment horizontal="center" vertical="center"/>
    </xf>
    <xf numFmtId="1" fontId="26" fillId="0" borderId="0" xfId="0" applyNumberFormat="1" applyFont="1" applyAlignment="1">
      <alignment horizontal="left"/>
    </xf>
    <xf numFmtId="0" fontId="2" fillId="24" borderId="56" xfId="0" applyFont="1" applyFill="1" applyBorder="1" applyAlignment="1">
      <alignment horizontal="left" vertical="top" wrapText="1"/>
    </xf>
    <xf numFmtId="49" fontId="1" fillId="0" borderId="11" xfId="0" applyNumberFormat="1" applyFont="1" applyFill="1" applyBorder="1" applyAlignment="1">
      <alignment horizontal="center" vertical="center" wrapText="1"/>
    </xf>
    <xf numFmtId="0" fontId="6" fillId="0" borderId="53" xfId="0" applyFont="1" applyFill="1" applyBorder="1" applyAlignment="1">
      <alignment horizontal="left" vertical="top" wrapText="1"/>
    </xf>
    <xf numFmtId="0" fontId="6" fillId="0" borderId="30" xfId="0" applyFont="1" applyFill="1" applyBorder="1" applyAlignment="1">
      <alignment horizontal="left"/>
    </xf>
    <xf numFmtId="0" fontId="6" fillId="0" borderId="30" xfId="0" applyFont="1" applyFill="1" applyBorder="1" applyAlignment="1">
      <alignment horizontal="left" vertical="center" wrapText="1"/>
    </xf>
    <xf numFmtId="0" fontId="6" fillId="0" borderId="57" xfId="0" applyFont="1" applyFill="1" applyBorder="1" applyAlignment="1">
      <alignment horizontal="left"/>
    </xf>
    <xf numFmtId="0" fontId="6" fillId="0" borderId="58" xfId="0" applyFont="1" applyFill="1" applyBorder="1" applyAlignment="1">
      <alignment horizontal="left"/>
    </xf>
    <xf numFmtId="0" fontId="6" fillId="24" borderId="11" xfId="0" applyFont="1" applyFill="1" applyBorder="1" applyAlignment="1">
      <alignment vertical="top" wrapText="1"/>
    </xf>
    <xf numFmtId="0" fontId="6" fillId="0" borderId="11" xfId="0" applyFont="1" applyFill="1" applyBorder="1" applyAlignment="1">
      <alignment vertical="top" wrapText="1"/>
    </xf>
    <xf numFmtId="165" fontId="13" fillId="0" borderId="24" xfId="0" applyNumberFormat="1" applyFont="1" applyFill="1" applyBorder="1" applyAlignment="1">
      <alignment wrapText="1"/>
    </xf>
    <xf numFmtId="165" fontId="6" fillId="0" borderId="11" xfId="0" applyNumberFormat="1" applyFont="1" applyFill="1" applyBorder="1" applyAlignment="1">
      <alignment horizontal="center"/>
    </xf>
    <xf numFmtId="0" fontId="2" fillId="0" borderId="11" xfId="0" applyFont="1" applyFill="1" applyBorder="1" applyAlignment="1">
      <alignment vertical="top" wrapText="1"/>
    </xf>
    <xf numFmtId="0" fontId="6" fillId="0" borderId="13" xfId="0" applyFont="1" applyBorder="1" applyAlignment="1">
      <alignment horizontal="left" vertical="center"/>
    </xf>
    <xf numFmtId="165" fontId="0" fillId="0" borderId="0" xfId="0" applyNumberFormat="1" applyAlignment="1">
      <alignment/>
    </xf>
    <xf numFmtId="0" fontId="1" fillId="24" borderId="11" xfId="0" applyFont="1" applyFill="1" applyBorder="1" applyAlignment="1">
      <alignment horizontal="left" vertical="top" wrapText="1"/>
    </xf>
    <xf numFmtId="0" fontId="6" fillId="24" borderId="11" xfId="0" applyFont="1" applyFill="1" applyBorder="1" applyAlignment="1">
      <alignment horizontal="left" vertical="top" wrapText="1"/>
    </xf>
    <xf numFmtId="14" fontId="1" fillId="24" borderId="11" xfId="0" applyNumberFormat="1" applyFont="1" applyFill="1" applyBorder="1" applyAlignment="1">
      <alignment horizontal="left" vertical="top" wrapText="1"/>
    </xf>
    <xf numFmtId="0" fontId="1" fillId="24" borderId="11" xfId="0" applyFont="1" applyFill="1" applyBorder="1" applyAlignment="1">
      <alignment horizontal="left" vertical="top" wrapText="1" indent="15"/>
    </xf>
    <xf numFmtId="0" fontId="9" fillId="24" borderId="11" xfId="0" applyFont="1" applyFill="1" applyBorder="1" applyAlignment="1">
      <alignment vertical="top" wrapText="1"/>
    </xf>
    <xf numFmtId="0" fontId="1" fillId="24" borderId="11" xfId="0" applyFont="1" applyFill="1" applyBorder="1" applyAlignment="1">
      <alignment vertical="top" wrapText="1"/>
    </xf>
    <xf numFmtId="0" fontId="2" fillId="24" borderId="11" xfId="0" applyFont="1" applyFill="1" applyBorder="1" applyAlignment="1">
      <alignment horizontal="left" vertical="top" wrapText="1"/>
    </xf>
    <xf numFmtId="43" fontId="0" fillId="0" borderId="11" xfId="60" applyFont="1" applyBorder="1" applyAlignment="1">
      <alignment/>
    </xf>
    <xf numFmtId="0" fontId="1" fillId="0" borderId="11" xfId="0" applyFont="1" applyFill="1" applyBorder="1" applyAlignment="1">
      <alignment vertical="top" wrapText="1"/>
    </xf>
    <xf numFmtId="0" fontId="9" fillId="24" borderId="11" xfId="0" applyFont="1" applyFill="1" applyBorder="1" applyAlignment="1">
      <alignment horizontal="left" vertical="top" wrapText="1"/>
    </xf>
    <xf numFmtId="0" fontId="2" fillId="24" borderId="11" xfId="0" applyNumberFormat="1" applyFont="1" applyFill="1" applyBorder="1" applyAlignment="1">
      <alignment horizontal="left" vertical="top" wrapText="1"/>
    </xf>
    <xf numFmtId="0" fontId="26" fillId="0" borderId="0" xfId="0" applyFont="1" applyFill="1" applyBorder="1" applyAlignment="1">
      <alignment vertical="center" wrapText="1"/>
    </xf>
    <xf numFmtId="0" fontId="6" fillId="0" borderId="54" xfId="0" applyFont="1" applyFill="1" applyBorder="1" applyAlignment="1">
      <alignment vertical="top" wrapText="1"/>
    </xf>
    <xf numFmtId="0" fontId="6" fillId="0" borderId="11" xfId="0" applyFont="1" applyFill="1" applyBorder="1" applyAlignment="1">
      <alignment horizontal="left" vertical="top" wrapText="1"/>
    </xf>
    <xf numFmtId="9" fontId="72" fillId="0" borderId="0" xfId="0" applyNumberFormat="1" applyFont="1" applyAlignment="1">
      <alignment/>
    </xf>
    <xf numFmtId="0" fontId="72" fillId="0" borderId="0" xfId="0" applyFont="1" applyAlignment="1">
      <alignment/>
    </xf>
    <xf numFmtId="0" fontId="6" fillId="0" borderId="37" xfId="0" applyFont="1" applyFill="1" applyBorder="1" applyAlignment="1">
      <alignment horizontal="left" vertical="top" wrapText="1"/>
    </xf>
    <xf numFmtId="0" fontId="6" fillId="24" borderId="17" xfId="0" applyFont="1" applyFill="1" applyBorder="1" applyAlignment="1">
      <alignment vertical="top" wrapText="1"/>
    </xf>
    <xf numFmtId="2" fontId="6" fillId="24" borderId="17" xfId="0" applyNumberFormat="1" applyFont="1" applyFill="1" applyBorder="1" applyAlignment="1">
      <alignment horizontal="center" vertical="center" wrapText="1"/>
    </xf>
    <xf numFmtId="0" fontId="6" fillId="24" borderId="23" xfId="0" applyFont="1" applyFill="1" applyBorder="1" applyAlignment="1">
      <alignment horizontal="center" vertical="center" wrapText="1"/>
    </xf>
    <xf numFmtId="0" fontId="6" fillId="0" borderId="11" xfId="0" applyFont="1" applyBorder="1" applyAlignment="1">
      <alignment vertical="top" wrapText="1"/>
    </xf>
    <xf numFmtId="0" fontId="13" fillId="24" borderId="59" xfId="0" applyFont="1" applyFill="1" applyBorder="1" applyAlignment="1">
      <alignment vertical="top" wrapText="1"/>
    </xf>
    <xf numFmtId="0" fontId="13" fillId="24" borderId="43" xfId="0" applyFont="1" applyFill="1" applyBorder="1" applyAlignment="1">
      <alignment horizontal="center" vertical="center" wrapText="1"/>
    </xf>
    <xf numFmtId="0" fontId="13" fillId="25" borderId="43" xfId="0" applyFont="1" applyFill="1" applyBorder="1" applyAlignment="1">
      <alignment horizontal="center" vertical="top" wrapText="1"/>
    </xf>
    <xf numFmtId="0" fontId="6" fillId="0" borderId="11" xfId="0" applyFont="1" applyBorder="1" applyAlignment="1">
      <alignment horizontal="left"/>
    </xf>
    <xf numFmtId="0" fontId="13" fillId="24" borderId="23" xfId="0" applyFont="1" applyFill="1" applyBorder="1" applyAlignment="1">
      <alignment horizontal="center" vertical="center" wrapText="1"/>
    </xf>
    <xf numFmtId="0" fontId="13" fillId="0" borderId="23" xfId="0" applyFont="1" applyBorder="1" applyAlignment="1">
      <alignment vertical="top" wrapText="1"/>
    </xf>
    <xf numFmtId="0" fontId="6" fillId="26" borderId="17" xfId="0" applyFont="1" applyFill="1" applyBorder="1" applyAlignment="1">
      <alignment horizontal="center" vertical="center" wrapText="1"/>
    </xf>
    <xf numFmtId="2" fontId="6" fillId="26" borderId="11" xfId="0" applyNumberFormat="1" applyFont="1" applyFill="1" applyBorder="1" applyAlignment="1">
      <alignment horizontal="center" vertical="center"/>
    </xf>
    <xf numFmtId="0" fontId="6" fillId="26" borderId="11" xfId="0" applyFont="1" applyFill="1" applyBorder="1" applyAlignment="1">
      <alignment horizontal="center"/>
    </xf>
    <xf numFmtId="0" fontId="6" fillId="26" borderId="11" xfId="0" applyFont="1" applyFill="1" applyBorder="1" applyAlignment="1">
      <alignment vertical="center" wrapText="1"/>
    </xf>
    <xf numFmtId="0" fontId="72" fillId="26" borderId="0" xfId="0" applyFont="1" applyFill="1" applyAlignment="1">
      <alignment/>
    </xf>
    <xf numFmtId="0" fontId="6" fillId="26" borderId="11" xfId="0" applyFont="1" applyFill="1" applyBorder="1" applyAlignment="1">
      <alignment horizontal="left" vertical="top" wrapText="1"/>
    </xf>
    <xf numFmtId="0" fontId="6" fillId="26" borderId="11" xfId="0" applyFont="1" applyFill="1" applyBorder="1" applyAlignment="1">
      <alignment vertical="top" wrapText="1"/>
    </xf>
    <xf numFmtId="165" fontId="13" fillId="26" borderId="11" xfId="0" applyNumberFormat="1" applyFont="1" applyFill="1" applyBorder="1" applyAlignment="1">
      <alignment/>
    </xf>
    <xf numFmtId="0" fontId="0" fillId="26" borderId="0" xfId="0" applyFill="1" applyAlignment="1">
      <alignment/>
    </xf>
    <xf numFmtId="0" fontId="6" fillId="26" borderId="32" xfId="0" applyFont="1" applyFill="1" applyBorder="1" applyAlignment="1">
      <alignment horizontal="left" vertical="top" wrapText="1"/>
    </xf>
    <xf numFmtId="165" fontId="13" fillId="26" borderId="14" xfId="0" applyNumberFormat="1" applyFont="1" applyFill="1" applyBorder="1" applyAlignment="1">
      <alignment/>
    </xf>
    <xf numFmtId="0" fontId="6" fillId="26" borderId="24" xfId="0" applyFont="1" applyFill="1" applyBorder="1" applyAlignment="1">
      <alignment vertical="top" wrapText="1"/>
    </xf>
    <xf numFmtId="0" fontId="6" fillId="26" borderId="30" xfId="0" applyFont="1" applyFill="1" applyBorder="1" applyAlignment="1">
      <alignment horizontal="left" vertical="top" wrapText="1"/>
    </xf>
    <xf numFmtId="166" fontId="13" fillId="0" borderId="57" xfId="0" applyNumberFormat="1" applyFont="1" applyBorder="1" applyAlignment="1">
      <alignment/>
    </xf>
    <xf numFmtId="166" fontId="13" fillId="0" borderId="60" xfId="0" applyNumberFormat="1" applyFont="1" applyBorder="1" applyAlignment="1">
      <alignment/>
    </xf>
    <xf numFmtId="166" fontId="13" fillId="0" borderId="57" xfId="0" applyNumberFormat="1" applyFont="1" applyFill="1" applyBorder="1" applyAlignment="1">
      <alignment/>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26" borderId="10" xfId="0" applyFont="1" applyFill="1" applyBorder="1" applyAlignment="1">
      <alignment horizontal="center" vertical="center" wrapText="1"/>
    </xf>
    <xf numFmtId="0" fontId="6" fillId="0" borderId="17" xfId="0" applyFont="1" applyFill="1" applyBorder="1" applyAlignment="1">
      <alignment vertical="center" wrapText="1"/>
    </xf>
    <xf numFmtId="0" fontId="23" fillId="26" borderId="11" xfId="0" applyFont="1" applyFill="1" applyBorder="1" applyAlignment="1">
      <alignment horizontal="center" vertical="center" wrapText="1"/>
    </xf>
    <xf numFmtId="16" fontId="1" fillId="24" borderId="28" xfId="0" applyNumberFormat="1" applyFont="1" applyFill="1" applyBorder="1" applyAlignment="1">
      <alignment horizontal="left" vertical="top" wrapText="1"/>
    </xf>
    <xf numFmtId="0" fontId="47" fillId="0" borderId="24" xfId="0" applyFont="1" applyFill="1" applyBorder="1" applyAlignment="1">
      <alignment vertical="top" wrapText="1"/>
    </xf>
    <xf numFmtId="0" fontId="6" fillId="0" borderId="11" xfId="0" applyFont="1" applyBorder="1" applyAlignment="1">
      <alignment/>
    </xf>
    <xf numFmtId="49" fontId="6" fillId="24" borderId="0" xfId="0" applyNumberFormat="1" applyFont="1" applyFill="1" applyBorder="1" applyAlignment="1">
      <alignment horizontal="left" vertical="top" wrapText="1"/>
    </xf>
    <xf numFmtId="0" fontId="6" fillId="24" borderId="0" xfId="0" applyFont="1" applyFill="1" applyBorder="1" applyAlignment="1">
      <alignment vertical="top" wrapText="1"/>
    </xf>
    <xf numFmtId="0" fontId="6" fillId="0" borderId="11" xfId="0" applyFont="1" applyBorder="1" applyAlignment="1">
      <alignment horizontal="justify" vertical="top" wrapText="1"/>
    </xf>
    <xf numFmtId="0" fontId="0" fillId="0" borderId="0" xfId="0" applyAlignment="1">
      <alignment vertical="center"/>
    </xf>
    <xf numFmtId="0" fontId="6"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0" xfId="0" applyAlignment="1">
      <alignment horizontal="center" vertical="center"/>
    </xf>
    <xf numFmtId="3" fontId="1" fillId="26" borderId="0" xfId="0" applyNumberFormat="1" applyFont="1" applyFill="1" applyAlignment="1">
      <alignment horizontal="right" vertical="center"/>
    </xf>
    <xf numFmtId="3" fontId="2" fillId="26" borderId="0" xfId="0" applyNumberFormat="1" applyFont="1" applyFill="1" applyAlignment="1">
      <alignment horizontal="right" vertical="center"/>
    </xf>
    <xf numFmtId="3" fontId="52" fillId="26" borderId="0" xfId="0" applyNumberFormat="1" applyFont="1" applyFill="1" applyAlignment="1">
      <alignment horizontal="right" vertical="center"/>
    </xf>
    <xf numFmtId="4" fontId="2" fillId="26" borderId="11" xfId="0" applyNumberFormat="1" applyFont="1" applyFill="1" applyBorder="1" applyAlignment="1">
      <alignment vertical="center" wrapText="1"/>
    </xf>
    <xf numFmtId="0" fontId="3" fillId="26" borderId="0" xfId="0" applyFont="1" applyFill="1" applyAlignment="1">
      <alignment/>
    </xf>
    <xf numFmtId="165" fontId="6" fillId="26" borderId="11" xfId="0" applyNumberFormat="1" applyFont="1" applyFill="1" applyBorder="1" applyAlignment="1">
      <alignment/>
    </xf>
    <xf numFmtId="165" fontId="6" fillId="26" borderId="0" xfId="0" applyNumberFormat="1" applyFont="1" applyFill="1" applyBorder="1" applyAlignment="1">
      <alignment/>
    </xf>
    <xf numFmtId="0" fontId="6" fillId="26" borderId="0" xfId="0" applyFont="1" applyFill="1" applyAlignment="1">
      <alignment horizontal="center" vertical="center"/>
    </xf>
    <xf numFmtId="0" fontId="0" fillId="26" borderId="0" xfId="0" applyFont="1" applyFill="1" applyAlignment="1">
      <alignment/>
    </xf>
    <xf numFmtId="166" fontId="6" fillId="26" borderId="12" xfId="0" applyNumberFormat="1" applyFont="1" applyFill="1" applyBorder="1" applyAlignment="1">
      <alignment horizontal="center" vertical="center" wrapText="1"/>
    </xf>
    <xf numFmtId="166" fontId="13" fillId="26" borderId="13" xfId="0" applyNumberFormat="1" applyFont="1" applyFill="1" applyBorder="1" applyAlignment="1">
      <alignment horizontal="center" vertical="center" wrapText="1"/>
    </xf>
    <xf numFmtId="165" fontId="6" fillId="26" borderId="10" xfId="0" applyNumberFormat="1" applyFont="1" applyFill="1" applyBorder="1" applyAlignment="1">
      <alignment/>
    </xf>
    <xf numFmtId="4" fontId="6" fillId="26" borderId="11" xfId="0" applyNumberFormat="1" applyFont="1" applyFill="1" applyBorder="1" applyAlignment="1">
      <alignment vertical="center" wrapText="1"/>
    </xf>
    <xf numFmtId="4" fontId="6" fillId="26" borderId="61" xfId="0" applyNumberFormat="1" applyFont="1" applyFill="1" applyBorder="1" applyAlignment="1">
      <alignment vertical="center" wrapText="1"/>
    </xf>
    <xf numFmtId="0" fontId="26" fillId="26" borderId="0" xfId="0" applyFont="1" applyFill="1" applyAlignment="1">
      <alignment horizontal="center" vertical="center"/>
    </xf>
    <xf numFmtId="0" fontId="0" fillId="26" borderId="0" xfId="0" applyFont="1" applyFill="1" applyAlignment="1">
      <alignment/>
    </xf>
    <xf numFmtId="0" fontId="1" fillId="24" borderId="11" xfId="0" applyFont="1" applyFill="1" applyBorder="1" applyAlignment="1">
      <alignment horizontal="center" vertical="top" wrapText="1"/>
    </xf>
    <xf numFmtId="0" fontId="6" fillId="24" borderId="17" xfId="0" applyFont="1" applyFill="1" applyBorder="1" applyAlignment="1">
      <alignment horizontal="left" vertical="top" wrapText="1"/>
    </xf>
    <xf numFmtId="0" fontId="13" fillId="0" borderId="17" xfId="0" applyFont="1" applyBorder="1" applyAlignment="1">
      <alignment vertical="top" wrapText="1"/>
    </xf>
    <xf numFmtId="0" fontId="13" fillId="24" borderId="56" xfId="0" applyFont="1" applyFill="1" applyBorder="1" applyAlignment="1">
      <alignment horizontal="center" vertical="center" wrapText="1"/>
    </xf>
    <xf numFmtId="0" fontId="13" fillId="25" borderId="17" xfId="0" applyFont="1" applyFill="1" applyBorder="1" applyAlignment="1">
      <alignment horizontal="center" vertical="top" wrapText="1"/>
    </xf>
    <xf numFmtId="166" fontId="13" fillId="0" borderId="17" xfId="0" applyNumberFormat="1" applyFont="1" applyBorder="1" applyAlignment="1">
      <alignment/>
    </xf>
    <xf numFmtId="165" fontId="6" fillId="0" borderId="17" xfId="0" applyNumberFormat="1" applyFont="1" applyBorder="1" applyAlignment="1">
      <alignment/>
    </xf>
    <xf numFmtId="165" fontId="13" fillId="0" borderId="17" xfId="0" applyNumberFormat="1" applyFont="1" applyBorder="1" applyAlignment="1">
      <alignment/>
    </xf>
    <xf numFmtId="2" fontId="13" fillId="24" borderId="17" xfId="0" applyNumberFormat="1" applyFont="1" applyFill="1" applyBorder="1" applyAlignment="1">
      <alignment horizontal="center" vertical="center" wrapText="1"/>
    </xf>
    <xf numFmtId="0" fontId="6" fillId="25" borderId="17" xfId="0" applyFont="1" applyFill="1" applyBorder="1" applyAlignment="1">
      <alignment horizontal="center" vertical="top" wrapText="1"/>
    </xf>
    <xf numFmtId="166" fontId="13" fillId="0" borderId="58" xfId="0" applyNumberFormat="1" applyFont="1" applyBorder="1" applyAlignment="1">
      <alignment/>
    </xf>
    <xf numFmtId="0" fontId="1" fillId="24" borderId="10" xfId="0" applyFont="1" applyFill="1" applyBorder="1" applyAlignment="1">
      <alignment horizontal="center" vertical="center" wrapText="1"/>
    </xf>
    <xf numFmtId="0" fontId="1" fillId="25" borderId="10" xfId="0" applyFont="1" applyFill="1" applyBorder="1" applyAlignment="1">
      <alignment horizontal="center" vertical="top" wrapText="1"/>
    </xf>
    <xf numFmtId="166" fontId="13" fillId="0" borderId="10" xfId="0" applyNumberFormat="1" applyFont="1" applyBorder="1" applyAlignment="1">
      <alignment horizontal="center" vertical="center"/>
    </xf>
    <xf numFmtId="166" fontId="13" fillId="0" borderId="38" xfId="0" applyNumberFormat="1" applyFont="1" applyBorder="1" applyAlignment="1">
      <alignment/>
    </xf>
    <xf numFmtId="2" fontId="1" fillId="24" borderId="10" xfId="0" applyNumberFormat="1" applyFont="1" applyFill="1" applyBorder="1" applyAlignment="1">
      <alignment horizontal="center" vertical="center" wrapText="1"/>
    </xf>
    <xf numFmtId="166" fontId="13" fillId="0" borderId="62" xfId="0" applyNumberFormat="1" applyFont="1" applyBorder="1" applyAlignment="1">
      <alignment/>
    </xf>
    <xf numFmtId="0" fontId="21" fillId="24" borderId="46" xfId="0" applyFont="1" applyFill="1" applyBorder="1" applyAlignment="1">
      <alignment horizontal="left" vertical="top" wrapText="1"/>
    </xf>
    <xf numFmtId="0" fontId="2" fillId="25" borderId="10" xfId="0" applyFont="1" applyFill="1" applyBorder="1" applyAlignment="1">
      <alignment horizontal="center" vertical="top" wrapText="1"/>
    </xf>
    <xf numFmtId="0" fontId="2" fillId="26" borderId="11" xfId="0" applyFont="1" applyFill="1" applyBorder="1" applyAlignment="1">
      <alignment horizontal="center" vertical="center" wrapText="1"/>
    </xf>
    <xf numFmtId="0" fontId="2" fillId="26" borderId="11" xfId="0" applyFont="1" applyFill="1" applyBorder="1" applyAlignment="1">
      <alignment horizontal="center" vertical="top" wrapText="1"/>
    </xf>
    <xf numFmtId="166" fontId="13" fillId="26" borderId="14" xfId="0" applyNumberFormat="1" applyFont="1" applyFill="1" applyBorder="1" applyAlignment="1">
      <alignment/>
    </xf>
    <xf numFmtId="0" fontId="1" fillId="26" borderId="11" xfId="0" applyFont="1" applyFill="1" applyBorder="1" applyAlignment="1">
      <alignment horizontal="center" vertical="center" wrapText="1"/>
    </xf>
    <xf numFmtId="0" fontId="6" fillId="26" borderId="11" xfId="0" applyFont="1" applyFill="1" applyBorder="1" applyAlignment="1">
      <alignment horizontal="center" vertical="top" wrapText="1"/>
    </xf>
    <xf numFmtId="2" fontId="0" fillId="26" borderId="0" xfId="0" applyNumberFormat="1" applyFill="1" applyAlignment="1">
      <alignment/>
    </xf>
    <xf numFmtId="0" fontId="6" fillId="26" borderId="11" xfId="0" applyFont="1" applyFill="1" applyBorder="1" applyAlignment="1">
      <alignment horizontal="center" vertical="center"/>
    </xf>
    <xf numFmtId="0" fontId="13" fillId="26" borderId="11" xfId="0" applyFont="1" applyFill="1" applyBorder="1" applyAlignment="1">
      <alignment horizontal="center" vertical="top" wrapText="1"/>
    </xf>
    <xf numFmtId="1" fontId="1" fillId="24" borderId="32" xfId="0" applyNumberFormat="1" applyFont="1" applyFill="1" applyBorder="1" applyAlignment="1">
      <alignment horizontal="left" vertical="top" wrapText="1"/>
    </xf>
    <xf numFmtId="0" fontId="12" fillId="26" borderId="0" xfId="0" applyFont="1" applyFill="1" applyAlignment="1">
      <alignment/>
    </xf>
    <xf numFmtId="0" fontId="1" fillId="24" borderId="32" xfId="0" applyFont="1" applyFill="1" applyBorder="1" applyAlignment="1">
      <alignment horizontal="left" vertical="top" wrapText="1"/>
    </xf>
    <xf numFmtId="0" fontId="13" fillId="24" borderId="32" xfId="0" applyFont="1" applyFill="1" applyBorder="1" applyAlignment="1">
      <alignment horizontal="left" vertical="top" wrapText="1"/>
    </xf>
    <xf numFmtId="0" fontId="73" fillId="0" borderId="0" xfId="0" applyFont="1" applyAlignment="1">
      <alignment/>
    </xf>
    <xf numFmtId="0" fontId="3" fillId="0" borderId="0" xfId="0" applyFont="1" applyFill="1" applyAlignment="1">
      <alignment vertical="center"/>
    </xf>
    <xf numFmtId="2" fontId="3" fillId="0" borderId="0" xfId="0" applyNumberFormat="1" applyFont="1" applyFill="1" applyAlignment="1">
      <alignment vertical="center"/>
    </xf>
    <xf numFmtId="0" fontId="2" fillId="0" borderId="11" xfId="0" applyFont="1" applyBorder="1" applyAlignment="1">
      <alignment vertical="top" wrapText="1"/>
    </xf>
    <xf numFmtId="0" fontId="2" fillId="24" borderId="24" xfId="0" applyFont="1" applyFill="1" applyBorder="1" applyAlignment="1">
      <alignment horizontal="left" vertical="top" wrapText="1"/>
    </xf>
    <xf numFmtId="166" fontId="13" fillId="26" borderId="0" xfId="0" applyNumberFormat="1" applyFont="1" applyFill="1" applyAlignment="1">
      <alignment/>
    </xf>
    <xf numFmtId="0" fontId="0" fillId="26" borderId="0" xfId="0" applyFill="1" applyAlignment="1">
      <alignment horizontal="right"/>
    </xf>
    <xf numFmtId="0" fontId="0" fillId="26" borderId="0" xfId="0" applyFill="1" applyAlignment="1">
      <alignment horizontal="right" vertical="center"/>
    </xf>
    <xf numFmtId="166" fontId="13" fillId="26" borderId="0" xfId="0" applyNumberFormat="1" applyFont="1" applyFill="1" applyBorder="1" applyAlignment="1">
      <alignment/>
    </xf>
    <xf numFmtId="0" fontId="0" fillId="26" borderId="11" xfId="0" applyFill="1" applyBorder="1" applyAlignment="1">
      <alignment/>
    </xf>
    <xf numFmtId="0" fontId="0" fillId="0" borderId="11" xfId="0" applyFill="1" applyBorder="1" applyAlignment="1">
      <alignment/>
    </xf>
    <xf numFmtId="0" fontId="13" fillId="0" borderId="11" xfId="0" applyFont="1" applyBorder="1" applyAlignment="1">
      <alignment horizontal="center"/>
    </xf>
    <xf numFmtId="0" fontId="6" fillId="0" borderId="59" xfId="0" applyFont="1" applyFill="1" applyBorder="1" applyAlignment="1">
      <alignment horizontal="left"/>
    </xf>
    <xf numFmtId="0" fontId="2" fillId="0" borderId="24" xfId="0" applyFont="1" applyFill="1" applyBorder="1" applyAlignment="1">
      <alignment horizontal="left" vertical="top" wrapText="1"/>
    </xf>
    <xf numFmtId="0" fontId="2" fillId="0" borderId="23" xfId="0" applyFont="1" applyFill="1" applyBorder="1" applyAlignment="1">
      <alignment horizontal="left" vertical="top" wrapText="1"/>
    </xf>
    <xf numFmtId="17" fontId="1" fillId="0" borderId="24" xfId="0" applyNumberFormat="1" applyFont="1" applyFill="1" applyBorder="1" applyAlignment="1">
      <alignment vertical="top" wrapText="1"/>
    </xf>
    <xf numFmtId="0" fontId="1" fillId="26" borderId="11" xfId="0" applyFont="1" applyFill="1" applyBorder="1" applyAlignment="1">
      <alignment horizontal="left" vertical="top" wrapText="1"/>
    </xf>
    <xf numFmtId="0" fontId="2" fillId="26" borderId="11" xfId="0" applyFont="1" applyFill="1" applyBorder="1" applyAlignment="1">
      <alignment vertical="top" wrapText="1"/>
    </xf>
    <xf numFmtId="1" fontId="13" fillId="26" borderId="11" xfId="0" applyNumberFormat="1" applyFont="1" applyFill="1" applyBorder="1" applyAlignment="1">
      <alignment horizontal="center"/>
    </xf>
    <xf numFmtId="1" fontId="13" fillId="26" borderId="11" xfId="0" applyNumberFormat="1" applyFont="1" applyFill="1" applyBorder="1" applyAlignment="1">
      <alignment/>
    </xf>
    <xf numFmtId="166" fontId="6" fillId="26" borderId="11" xfId="0" applyNumberFormat="1" applyFont="1" applyFill="1" applyBorder="1" applyAlignment="1">
      <alignment/>
    </xf>
    <xf numFmtId="166" fontId="13" fillId="26" borderId="11" xfId="0" applyNumberFormat="1" applyFont="1" applyFill="1" applyBorder="1" applyAlignment="1">
      <alignment/>
    </xf>
    <xf numFmtId="172" fontId="1" fillId="26" borderId="11" xfId="0" applyNumberFormat="1" applyFont="1" applyFill="1" applyBorder="1" applyAlignment="1">
      <alignment horizontal="center" vertical="center" wrapText="1"/>
    </xf>
    <xf numFmtId="0" fontId="13" fillId="26" borderId="11" xfId="0" applyFont="1" applyFill="1" applyBorder="1" applyAlignment="1">
      <alignment horizontal="left" vertical="top" wrapText="1"/>
    </xf>
    <xf numFmtId="14" fontId="1" fillId="26" borderId="11" xfId="0" applyNumberFormat="1" applyFont="1" applyFill="1" applyBorder="1" applyAlignment="1">
      <alignment horizontal="left" vertical="top" wrapText="1"/>
    </xf>
    <xf numFmtId="1" fontId="6" fillId="26" borderId="11" xfId="0" applyNumberFormat="1" applyFont="1" applyFill="1" applyBorder="1" applyAlignment="1">
      <alignment horizontal="center"/>
    </xf>
    <xf numFmtId="0" fontId="1" fillId="26" borderId="11" xfId="0" applyFont="1" applyFill="1" applyBorder="1" applyAlignment="1">
      <alignment horizontal="center" vertical="center" wrapText="1"/>
    </xf>
    <xf numFmtId="0" fontId="1" fillId="26" borderId="11" xfId="0" applyFont="1" applyFill="1" applyBorder="1" applyAlignment="1">
      <alignment horizontal="center" vertical="top" wrapText="1"/>
    </xf>
    <xf numFmtId="2" fontId="6" fillId="26" borderId="11" xfId="0" applyNumberFormat="1" applyFont="1" applyFill="1" applyBorder="1" applyAlignment="1">
      <alignment/>
    </xf>
    <xf numFmtId="2" fontId="6" fillId="26" borderId="11" xfId="0" applyNumberFormat="1" applyFont="1" applyFill="1" applyBorder="1" applyAlignment="1">
      <alignment horizontal="center"/>
    </xf>
    <xf numFmtId="0" fontId="0" fillId="26" borderId="0" xfId="0" applyFill="1" applyBorder="1" applyAlignment="1">
      <alignment/>
    </xf>
    <xf numFmtId="0" fontId="0" fillId="26" borderId="0" xfId="0" applyFont="1" applyFill="1" applyBorder="1" applyAlignment="1">
      <alignment/>
    </xf>
    <xf numFmtId="0" fontId="0" fillId="26" borderId="0" xfId="0" applyFont="1" applyFill="1" applyBorder="1" applyAlignment="1">
      <alignment/>
    </xf>
    <xf numFmtId="0" fontId="0" fillId="0" borderId="0" xfId="0" applyFont="1" applyAlignment="1">
      <alignment/>
    </xf>
    <xf numFmtId="9" fontId="55" fillId="0" borderId="0" xfId="0" applyNumberFormat="1" applyFont="1" applyAlignment="1">
      <alignment/>
    </xf>
    <xf numFmtId="0" fontId="55" fillId="0" borderId="0" xfId="0" applyFont="1" applyAlignment="1">
      <alignment/>
    </xf>
    <xf numFmtId="0" fontId="13" fillId="0" borderId="11" xfId="0" applyFont="1" applyBorder="1" applyAlignment="1">
      <alignment vertical="top" wrapText="1"/>
    </xf>
    <xf numFmtId="14" fontId="13" fillId="24" borderId="11" xfId="0" applyNumberFormat="1" applyFont="1" applyFill="1" applyBorder="1" applyAlignment="1">
      <alignment horizontal="left" vertical="top" wrapText="1"/>
    </xf>
    <xf numFmtId="167" fontId="13" fillId="25" borderId="11" xfId="0" applyNumberFormat="1" applyFont="1" applyFill="1" applyBorder="1" applyAlignment="1">
      <alignment horizontal="center" vertical="top" wrapText="1"/>
    </xf>
    <xf numFmtId="0" fontId="0" fillId="25" borderId="0" xfId="0" applyFont="1" applyFill="1" applyAlignment="1">
      <alignment/>
    </xf>
    <xf numFmtId="9" fontId="56" fillId="0" borderId="0" xfId="0" applyNumberFormat="1" applyFont="1" applyAlignment="1">
      <alignment/>
    </xf>
    <xf numFmtId="0" fontId="56" fillId="0" borderId="0" xfId="0" applyFont="1" applyAlignment="1">
      <alignment/>
    </xf>
    <xf numFmtId="9" fontId="57" fillId="0" borderId="0" xfId="0" applyNumberFormat="1" applyFont="1" applyAlignment="1">
      <alignment/>
    </xf>
    <xf numFmtId="0" fontId="57" fillId="0" borderId="0" xfId="0" applyFont="1" applyAlignment="1">
      <alignment/>
    </xf>
    <xf numFmtId="9" fontId="12" fillId="0" borderId="0" xfId="0" applyNumberFormat="1" applyFont="1" applyAlignment="1">
      <alignment/>
    </xf>
    <xf numFmtId="167" fontId="13" fillId="24" borderId="11" xfId="0" applyNumberFormat="1" applyFont="1" applyFill="1" applyBorder="1" applyAlignment="1">
      <alignment horizontal="left" vertical="top" wrapText="1"/>
    </xf>
    <xf numFmtId="167" fontId="13" fillId="24" borderId="11" xfId="0" applyNumberFormat="1" applyFont="1" applyFill="1" applyBorder="1" applyAlignment="1">
      <alignment vertical="top" wrapText="1"/>
    </xf>
    <xf numFmtId="167" fontId="1" fillId="24" borderId="11" xfId="0" applyNumberFormat="1" applyFont="1" applyFill="1" applyBorder="1" applyAlignment="1">
      <alignment horizontal="left" vertical="top" wrapText="1"/>
    </xf>
    <xf numFmtId="167" fontId="1" fillId="25" borderId="11" xfId="0" applyNumberFormat="1" applyFont="1" applyFill="1" applyBorder="1" applyAlignment="1">
      <alignment horizontal="center" vertical="top" wrapText="1"/>
    </xf>
    <xf numFmtId="2" fontId="13" fillId="0" borderId="11" xfId="0" applyNumberFormat="1" applyFont="1" applyFill="1" applyBorder="1" applyAlignment="1">
      <alignment horizontal="center" vertical="center" wrapText="1"/>
    </xf>
    <xf numFmtId="167" fontId="13" fillId="0" borderId="11" xfId="0" applyNumberFormat="1" applyFont="1" applyFill="1" applyBorder="1" applyAlignment="1">
      <alignment horizontal="center" vertical="top" wrapText="1"/>
    </xf>
    <xf numFmtId="166" fontId="13" fillId="0" borderId="11" xfId="0" applyNumberFormat="1" applyFont="1" applyFill="1" applyBorder="1" applyAlignment="1">
      <alignment horizontal="center" vertical="center"/>
    </xf>
    <xf numFmtId="166" fontId="13" fillId="0" borderId="0" xfId="0" applyNumberFormat="1" applyFont="1" applyBorder="1" applyAlignment="1">
      <alignment horizontal="center" vertical="center"/>
    </xf>
    <xf numFmtId="166" fontId="6" fillId="0" borderId="23" xfId="0" applyNumberFormat="1" applyFont="1" applyBorder="1" applyAlignment="1">
      <alignment horizontal="center" vertical="center"/>
    </xf>
    <xf numFmtId="9" fontId="0" fillId="0" borderId="23" xfId="0" applyNumberFormat="1" applyBorder="1" applyAlignment="1">
      <alignment/>
    </xf>
    <xf numFmtId="166" fontId="2" fillId="0" borderId="11" xfId="0" applyNumberFormat="1" applyFont="1" applyFill="1" applyBorder="1" applyAlignment="1">
      <alignment horizontal="center" vertical="center" wrapText="1"/>
    </xf>
    <xf numFmtId="166" fontId="1" fillId="0" borderId="11" xfId="0" applyNumberFormat="1" applyFont="1" applyFill="1" applyBorder="1" applyAlignment="1">
      <alignment horizontal="center" vertical="center" wrapText="1"/>
    </xf>
    <xf numFmtId="0" fontId="1" fillId="24" borderId="11" xfId="0" applyNumberFormat="1" applyFont="1" applyFill="1" applyBorder="1" applyAlignment="1">
      <alignment horizontal="center" vertical="top" wrapText="1"/>
    </xf>
    <xf numFmtId="0" fontId="13" fillId="24" borderId="11" xfId="0" applyNumberFormat="1" applyFont="1" applyFill="1" applyBorder="1" applyAlignment="1">
      <alignment horizontal="center" vertical="top" wrapText="1"/>
    </xf>
    <xf numFmtId="0" fontId="1" fillId="24"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xf>
    <xf numFmtId="0" fontId="1" fillId="0" borderId="11" xfId="0" applyNumberFormat="1" applyFont="1" applyFill="1" applyBorder="1" applyAlignment="1">
      <alignment horizontal="center" vertical="center" wrapText="1"/>
    </xf>
    <xf numFmtId="167" fontId="2" fillId="24" borderId="11" xfId="0" applyNumberFormat="1" applyFont="1" applyFill="1" applyBorder="1" applyAlignment="1">
      <alignment horizontal="left" vertical="top" wrapText="1"/>
    </xf>
    <xf numFmtId="167" fontId="6" fillId="24" borderId="11" xfId="0" applyNumberFormat="1" applyFont="1" applyFill="1" applyBorder="1" applyAlignment="1">
      <alignment vertical="top" wrapText="1"/>
    </xf>
    <xf numFmtId="167" fontId="6" fillId="24" borderId="11" xfId="0" applyNumberFormat="1" applyFont="1" applyFill="1" applyBorder="1" applyAlignment="1">
      <alignment horizontal="left" vertical="top" wrapText="1"/>
    </xf>
    <xf numFmtId="167" fontId="13" fillId="26" borderId="11" xfId="0" applyNumberFormat="1" applyFont="1" applyFill="1" applyBorder="1" applyAlignment="1">
      <alignment horizontal="left" vertical="top" wrapText="1"/>
    </xf>
    <xf numFmtId="0" fontId="12" fillId="0" borderId="11" xfId="0" applyFont="1" applyBorder="1" applyAlignment="1">
      <alignment/>
    </xf>
    <xf numFmtId="167" fontId="6" fillId="0" borderId="11" xfId="0" applyNumberFormat="1" applyFont="1" applyBorder="1" applyAlignment="1">
      <alignment horizontal="left"/>
    </xf>
    <xf numFmtId="167" fontId="6" fillId="0" borderId="11" xfId="0" applyNumberFormat="1" applyFont="1" applyBorder="1" applyAlignment="1">
      <alignment/>
    </xf>
    <xf numFmtId="167" fontId="47" fillId="24" borderId="11" xfId="0" applyNumberFormat="1" applyFont="1" applyFill="1" applyBorder="1" applyAlignment="1">
      <alignment vertical="top" wrapText="1"/>
    </xf>
    <xf numFmtId="167" fontId="6" fillId="24" borderId="11" xfId="0" applyNumberFormat="1" applyFont="1" applyFill="1" applyBorder="1" applyAlignment="1">
      <alignment horizontal="left" vertical="top" wrapText="1" indent="1"/>
    </xf>
    <xf numFmtId="167" fontId="6" fillId="0" borderId="11" xfId="0" applyNumberFormat="1" applyFont="1" applyBorder="1" applyAlignment="1">
      <alignment/>
    </xf>
    <xf numFmtId="1" fontId="6" fillId="24" borderId="11" xfId="0" applyNumberFormat="1" applyFont="1" applyFill="1" applyBorder="1" applyAlignment="1">
      <alignment horizontal="left" vertical="top" wrapText="1"/>
    </xf>
    <xf numFmtId="1" fontId="2" fillId="24" borderId="11" xfId="0" applyNumberFormat="1" applyFont="1" applyFill="1" applyBorder="1" applyAlignment="1">
      <alignment horizontal="left" vertical="top" wrapText="1"/>
    </xf>
    <xf numFmtId="166" fontId="13" fillId="0" borderId="11" xfId="0" applyNumberFormat="1" applyFont="1" applyBorder="1" applyAlignment="1">
      <alignment horizontal="center" vertical="center"/>
    </xf>
    <xf numFmtId="167" fontId="13" fillId="24" borderId="11" xfId="0" applyNumberFormat="1" applyFont="1" applyFill="1" applyBorder="1" applyAlignment="1">
      <alignment horizontal="left" vertical="top" wrapText="1" indent="15"/>
    </xf>
    <xf numFmtId="16" fontId="2" fillId="24" borderId="11" xfId="0" applyNumberFormat="1" applyFont="1" applyFill="1" applyBorder="1" applyAlignment="1">
      <alignment horizontal="left" vertical="top" wrapText="1"/>
    </xf>
    <xf numFmtId="2" fontId="26" fillId="0" borderId="0" xfId="0" applyNumberFormat="1" applyFont="1" applyAlignment="1">
      <alignment horizontal="right" vertical="center"/>
    </xf>
    <xf numFmtId="165" fontId="6" fillId="0" borderId="11" xfId="0" applyNumberFormat="1" applyFont="1" applyBorder="1" applyAlignment="1">
      <alignment horizontal="center" vertical="center"/>
    </xf>
    <xf numFmtId="0" fontId="26" fillId="26" borderId="0" xfId="0" applyFont="1" applyFill="1" applyAlignment="1">
      <alignment horizontal="right" vertical="center"/>
    </xf>
    <xf numFmtId="166" fontId="2" fillId="26" borderId="11" xfId="0" applyNumberFormat="1" applyFont="1" applyFill="1" applyBorder="1" applyAlignment="1">
      <alignment horizontal="center" vertical="center" wrapText="1"/>
    </xf>
    <xf numFmtId="166" fontId="1" fillId="26" borderId="11" xfId="0" applyNumberFormat="1" applyFont="1" applyFill="1" applyBorder="1" applyAlignment="1">
      <alignment horizontal="center" vertical="center" wrapText="1"/>
    </xf>
    <xf numFmtId="49" fontId="6" fillId="24" borderId="11" xfId="0" applyNumberFormat="1" applyFont="1" applyFill="1" applyBorder="1" applyAlignment="1">
      <alignment horizontal="left" vertical="top" wrapText="1"/>
    </xf>
    <xf numFmtId="0" fontId="13" fillId="0" borderId="11" xfId="0" applyFont="1" applyBorder="1" applyAlignment="1">
      <alignment horizontal="center" vertical="top" wrapText="1"/>
    </xf>
    <xf numFmtId="0" fontId="6" fillId="0" borderId="11" xfId="0" applyFont="1" applyBorder="1" applyAlignment="1">
      <alignment horizontal="center" vertical="distributed"/>
    </xf>
    <xf numFmtId="0" fontId="13" fillId="0" borderId="11" xfId="0" applyFont="1" applyBorder="1" applyAlignment="1">
      <alignment horizontal="center" vertical="distributed"/>
    </xf>
    <xf numFmtId="0" fontId="6" fillId="0" borderId="11" xfId="0" applyNumberFormat="1" applyFont="1" applyBorder="1" applyAlignment="1">
      <alignment/>
    </xf>
    <xf numFmtId="2" fontId="6" fillId="0" borderId="11" xfId="0" applyNumberFormat="1" applyFont="1" applyFill="1" applyBorder="1" applyAlignment="1">
      <alignment/>
    </xf>
    <xf numFmtId="0" fontId="6" fillId="0" borderId="11" xfId="0" applyFont="1" applyFill="1" applyBorder="1" applyAlignment="1">
      <alignment horizontal="right" vertical="top" wrapText="1"/>
    </xf>
    <xf numFmtId="0" fontId="6" fillId="0" borderId="11" xfId="0" applyFont="1" applyFill="1" applyBorder="1" applyAlignment="1">
      <alignment horizontal="justify" vertical="top" wrapText="1"/>
    </xf>
    <xf numFmtId="0" fontId="6" fillId="0" borderId="11" xfId="0" applyFont="1" applyBorder="1" applyAlignment="1">
      <alignment horizontal="left" vertical="top" wrapText="1"/>
    </xf>
    <xf numFmtId="0" fontId="6" fillId="0" borderId="11" xfId="0" applyFont="1" applyBorder="1" applyAlignment="1">
      <alignment horizontal="right" vertical="top" wrapText="1"/>
    </xf>
    <xf numFmtId="0" fontId="6" fillId="26" borderId="11" xfId="0" applyFont="1" applyFill="1" applyBorder="1" applyAlignment="1">
      <alignment horizontal="justify" vertical="top" wrapText="1"/>
    </xf>
    <xf numFmtId="0" fontId="13" fillId="26" borderId="11" xfId="0" applyFont="1" applyFill="1" applyBorder="1" applyAlignment="1">
      <alignment vertical="top" wrapText="1"/>
    </xf>
    <xf numFmtId="0" fontId="74" fillId="26" borderId="11" xfId="0" applyFont="1" applyFill="1" applyBorder="1" applyAlignment="1">
      <alignment horizontal="center" vertical="top" wrapText="1"/>
    </xf>
    <xf numFmtId="0" fontId="74" fillId="26" borderId="11" xfId="0" applyFont="1" applyFill="1" applyBorder="1" applyAlignment="1">
      <alignment/>
    </xf>
    <xf numFmtId="0" fontId="74" fillId="26" borderId="11" xfId="0" applyFont="1" applyFill="1" applyBorder="1" applyAlignment="1">
      <alignment horizontal="center"/>
    </xf>
    <xf numFmtId="0" fontId="47" fillId="0" borderId="11" xfId="0" applyFont="1" applyBorder="1" applyAlignment="1">
      <alignment horizontal="justify" vertical="top" wrapText="1"/>
    </xf>
    <xf numFmtId="1" fontId="6" fillId="0" borderId="11" xfId="0" applyNumberFormat="1" applyFont="1" applyBorder="1" applyAlignment="1">
      <alignment/>
    </xf>
    <xf numFmtId="0" fontId="14" fillId="24" borderId="11" xfId="0" applyFont="1" applyFill="1" applyBorder="1" applyAlignment="1">
      <alignment horizontal="center" vertical="center" wrapText="1"/>
    </xf>
    <xf numFmtId="3" fontId="14" fillId="26" borderId="11" xfId="0" applyNumberFormat="1" applyFont="1" applyFill="1" applyBorder="1" applyAlignment="1">
      <alignment horizontal="center" vertical="center" wrapText="1"/>
    </xf>
    <xf numFmtId="0" fontId="4" fillId="24" borderId="11" xfId="0" applyFont="1" applyFill="1" applyBorder="1" applyAlignment="1">
      <alignment horizontal="center" vertical="top" wrapText="1"/>
    </xf>
    <xf numFmtId="0" fontId="7" fillId="24" borderId="11" xfId="0" applyFont="1" applyFill="1" applyBorder="1" applyAlignment="1">
      <alignment horizontal="center" vertical="top" wrapText="1"/>
    </xf>
    <xf numFmtId="3" fontId="5" fillId="26" borderId="11" xfId="0" applyNumberFormat="1" applyFont="1" applyFill="1" applyBorder="1" applyAlignment="1">
      <alignment horizontal="center" vertical="center" wrapText="1"/>
    </xf>
    <xf numFmtId="0" fontId="1" fillId="0" borderId="11" xfId="0" applyFont="1" applyFill="1" applyBorder="1" applyAlignment="1">
      <alignment wrapText="1"/>
    </xf>
    <xf numFmtId="0" fontId="2" fillId="0" borderId="11" xfId="0" applyFont="1" applyFill="1" applyBorder="1" applyAlignment="1">
      <alignment wrapText="1"/>
    </xf>
    <xf numFmtId="4" fontId="13" fillId="0" borderId="11" xfId="0" applyNumberFormat="1" applyFont="1" applyFill="1" applyBorder="1" applyAlignment="1">
      <alignment vertical="center"/>
    </xf>
    <xf numFmtId="0" fontId="1" fillId="0" borderId="11" xfId="0" applyFont="1" applyFill="1" applyBorder="1" applyAlignment="1">
      <alignment/>
    </xf>
    <xf numFmtId="0" fontId="2" fillId="0" borderId="11" xfId="0" applyFont="1" applyFill="1" applyBorder="1" applyAlignment="1">
      <alignment/>
    </xf>
    <xf numFmtId="0" fontId="13" fillId="0" borderId="11" xfId="0" applyFont="1" applyBorder="1" applyAlignment="1">
      <alignment/>
    </xf>
    <xf numFmtId="0" fontId="6" fillId="26" borderId="11" xfId="0" applyFont="1" applyFill="1" applyBorder="1" applyAlignment="1">
      <alignment/>
    </xf>
    <xf numFmtId="0" fontId="6" fillId="26" borderId="11" xfId="0" applyFont="1" applyFill="1" applyBorder="1" applyAlignment="1">
      <alignment wrapText="1"/>
    </xf>
    <xf numFmtId="4" fontId="13" fillId="26" borderId="11" xfId="0" applyNumberFormat="1" applyFont="1" applyFill="1" applyBorder="1" applyAlignment="1">
      <alignment vertical="center"/>
    </xf>
    <xf numFmtId="0" fontId="0" fillId="26" borderId="0" xfId="0" applyFont="1" applyFill="1" applyAlignment="1">
      <alignment horizontal="right"/>
    </xf>
    <xf numFmtId="0" fontId="13" fillId="26" borderId="11" xfId="0" applyFont="1" applyFill="1" applyBorder="1" applyAlignment="1">
      <alignment horizontal="center" vertical="top" wrapText="1"/>
    </xf>
    <xf numFmtId="166" fontId="6" fillId="24" borderId="11" xfId="0" applyNumberFormat="1" applyFont="1" applyFill="1" applyBorder="1" applyAlignment="1">
      <alignment horizontal="center" vertical="center"/>
    </xf>
    <xf numFmtId="166" fontId="13" fillId="24" borderId="57" xfId="0" applyNumberFormat="1" applyFont="1" applyFill="1" applyBorder="1" applyAlignment="1">
      <alignment/>
    </xf>
    <xf numFmtId="165" fontId="6" fillId="24" borderId="14" xfId="0" applyNumberFormat="1" applyFont="1" applyFill="1" applyBorder="1" applyAlignment="1">
      <alignment/>
    </xf>
    <xf numFmtId="166" fontId="13" fillId="24" borderId="11" xfId="0" applyNumberFormat="1" applyFont="1" applyFill="1" applyBorder="1" applyAlignment="1">
      <alignment horizontal="center" vertical="center"/>
    </xf>
    <xf numFmtId="165" fontId="13" fillId="24" borderId="10" xfId="0" applyNumberFormat="1" applyFont="1" applyFill="1" applyBorder="1" applyAlignment="1">
      <alignment/>
    </xf>
    <xf numFmtId="0" fontId="2" fillId="24" borderId="23" xfId="0" applyFont="1" applyFill="1" applyBorder="1" applyAlignment="1">
      <alignment horizontal="left" vertical="top" wrapText="1" indent="1"/>
    </xf>
    <xf numFmtId="17" fontId="2" fillId="24" borderId="32" xfId="0" applyNumberFormat="1" applyFont="1" applyFill="1" applyBorder="1" applyAlignment="1">
      <alignment horizontal="left" vertical="top" wrapText="1"/>
    </xf>
    <xf numFmtId="0" fontId="6" fillId="24" borderId="23" xfId="0" applyFont="1" applyFill="1" applyBorder="1" applyAlignment="1">
      <alignment vertical="top" wrapText="1"/>
    </xf>
    <xf numFmtId="166" fontId="13" fillId="24" borderId="11" xfId="0" applyNumberFormat="1" applyFont="1" applyFill="1" applyBorder="1" applyAlignment="1">
      <alignment horizontal="center" vertical="center"/>
    </xf>
    <xf numFmtId="0" fontId="13" fillId="24" borderId="11" xfId="0" applyFont="1" applyFill="1" applyBorder="1" applyAlignment="1">
      <alignment horizontal="center" vertical="center"/>
    </xf>
    <xf numFmtId="0" fontId="13" fillId="24" borderId="11" xfId="0" applyFont="1" applyFill="1" applyBorder="1" applyAlignment="1">
      <alignment horizontal="center"/>
    </xf>
    <xf numFmtId="2" fontId="13" fillId="24" borderId="11" xfId="0" applyNumberFormat="1" applyFont="1" applyFill="1" applyBorder="1" applyAlignment="1">
      <alignment horizontal="center" vertical="center"/>
    </xf>
    <xf numFmtId="0" fontId="2" fillId="24" borderId="11" xfId="0" applyNumberFormat="1" applyFont="1" applyFill="1" applyBorder="1" applyAlignment="1">
      <alignment horizontal="center" vertical="center" wrapText="1"/>
    </xf>
    <xf numFmtId="0" fontId="22" fillId="0" borderId="11" xfId="0" applyFont="1" applyBorder="1" applyAlignment="1">
      <alignment horizontal="left"/>
    </xf>
    <xf numFmtId="0" fontId="2" fillId="24" borderId="11" xfId="0" applyFont="1" applyFill="1" applyBorder="1" applyAlignment="1">
      <alignment horizontal="left" vertical="top" wrapText="1" indent="1"/>
    </xf>
    <xf numFmtId="17" fontId="1" fillId="24" borderId="11" xfId="0" applyNumberFormat="1" applyFont="1" applyFill="1" applyBorder="1" applyAlignment="1">
      <alignment horizontal="left" vertical="top" wrapText="1"/>
    </xf>
    <xf numFmtId="0" fontId="13" fillId="24" borderId="13" xfId="0" applyNumberFormat="1" applyFont="1" applyFill="1" applyBorder="1" applyAlignment="1">
      <alignment horizontal="center" vertical="center" wrapText="1"/>
    </xf>
    <xf numFmtId="0" fontId="13" fillId="0" borderId="46" xfId="0" applyFont="1" applyFill="1" applyBorder="1" applyAlignment="1">
      <alignment horizontal="left" vertical="top" wrapText="1"/>
    </xf>
    <xf numFmtId="0" fontId="6" fillId="0" borderId="52" xfId="0" applyFont="1" applyFill="1" applyBorder="1" applyAlignment="1">
      <alignment vertical="top" wrapText="1"/>
    </xf>
    <xf numFmtId="0" fontId="2" fillId="24" borderId="30" xfId="0" applyFont="1" applyFill="1" applyBorder="1" applyAlignment="1">
      <alignment vertical="top" wrapText="1"/>
    </xf>
    <xf numFmtId="0" fontId="6" fillId="0" borderId="57" xfId="0" applyFont="1" applyFill="1" applyBorder="1" applyAlignment="1">
      <alignment horizontal="left" vertical="top" wrapText="1"/>
    </xf>
    <xf numFmtId="0" fontId="6" fillId="0" borderId="24" xfId="0" applyFont="1" applyFill="1" applyBorder="1" applyAlignment="1">
      <alignment wrapText="1"/>
    </xf>
    <xf numFmtId="0" fontId="49" fillId="0" borderId="11"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30" xfId="0" applyFont="1" applyFill="1" applyBorder="1" applyAlignment="1">
      <alignment horizontal="left" wrapText="1"/>
    </xf>
    <xf numFmtId="165" fontId="13" fillId="0" borderId="14" xfId="0" applyNumberFormat="1" applyFont="1" applyFill="1" applyBorder="1" applyAlignment="1">
      <alignment/>
    </xf>
    <xf numFmtId="0" fontId="6" fillId="0" borderId="51" xfId="0" applyFont="1" applyFill="1" applyBorder="1" applyAlignment="1">
      <alignment horizontal="left" vertical="top" wrapText="1"/>
    </xf>
    <xf numFmtId="0" fontId="58" fillId="0" borderId="24" xfId="0" applyFont="1" applyFill="1" applyBorder="1" applyAlignment="1">
      <alignment wrapText="1"/>
    </xf>
    <xf numFmtId="0" fontId="6" fillId="24" borderId="30" xfId="0" applyFont="1" applyFill="1" applyBorder="1" applyAlignment="1">
      <alignment horizontal="left" vertical="center" wrapText="1"/>
    </xf>
    <xf numFmtId="165" fontId="13" fillId="24" borderId="14" xfId="0" applyNumberFormat="1" applyFont="1" applyFill="1" applyBorder="1" applyAlignment="1">
      <alignment vertical="center"/>
    </xf>
    <xf numFmtId="165" fontId="13" fillId="24" borderId="17" xfId="0" applyNumberFormat="1" applyFont="1" applyFill="1" applyBorder="1" applyAlignment="1">
      <alignment/>
    </xf>
    <xf numFmtId="0" fontId="13" fillId="26" borderId="24" xfId="0" applyFont="1" applyFill="1" applyBorder="1" applyAlignment="1">
      <alignment vertical="top" wrapText="1"/>
    </xf>
    <xf numFmtId="0" fontId="28" fillId="26" borderId="0" xfId="0" applyFont="1" applyFill="1" applyAlignment="1">
      <alignment/>
    </xf>
    <xf numFmtId="0" fontId="0" fillId="24" borderId="0" xfId="0" applyFont="1" applyFill="1" applyAlignment="1">
      <alignment horizontal="center" vertical="center"/>
    </xf>
    <xf numFmtId="165" fontId="6" fillId="24" borderId="21" xfId="0" applyNumberFormat="1" applyFont="1" applyFill="1" applyBorder="1" applyAlignment="1">
      <alignment horizontal="center" vertical="center"/>
    </xf>
    <xf numFmtId="165" fontId="6" fillId="24" borderId="11" xfId="0" applyNumberFormat="1" applyFont="1" applyFill="1" applyBorder="1" applyAlignment="1">
      <alignment horizontal="center" vertical="center"/>
    </xf>
    <xf numFmtId="165" fontId="6" fillId="26" borderId="42" xfId="0" applyNumberFormat="1" applyFont="1" applyFill="1" applyBorder="1" applyAlignment="1">
      <alignment horizontal="center" vertical="center"/>
    </xf>
    <xf numFmtId="165" fontId="6" fillId="26" borderId="11" xfId="0" applyNumberFormat="1" applyFont="1" applyFill="1" applyBorder="1" applyAlignment="1">
      <alignment horizontal="center" vertical="center"/>
    </xf>
    <xf numFmtId="165" fontId="6" fillId="24" borderId="17" xfId="0" applyNumberFormat="1" applyFont="1" applyFill="1" applyBorder="1" applyAlignment="1">
      <alignment horizontal="center" vertical="center"/>
    </xf>
    <xf numFmtId="165" fontId="6" fillId="26" borderId="11" xfId="0" applyNumberFormat="1" applyFont="1" applyFill="1" applyBorder="1" applyAlignment="1">
      <alignment horizontal="center" vertical="center" wrapText="1"/>
    </xf>
    <xf numFmtId="165" fontId="6" fillId="24" borderId="10" xfId="0" applyNumberFormat="1" applyFont="1" applyFill="1" applyBorder="1" applyAlignment="1">
      <alignment horizontal="center" vertical="center"/>
    </xf>
    <xf numFmtId="165" fontId="6" fillId="24" borderId="63" xfId="0" applyNumberFormat="1" applyFont="1" applyFill="1" applyBorder="1" applyAlignment="1">
      <alignment horizontal="center" vertical="center"/>
    </xf>
    <xf numFmtId="0" fontId="28" fillId="24" borderId="11" xfId="0" applyFont="1" applyFill="1" applyBorder="1" applyAlignment="1">
      <alignment horizontal="center" vertical="center"/>
    </xf>
    <xf numFmtId="0" fontId="6" fillId="0" borderId="11" xfId="0" applyFont="1" applyFill="1" applyBorder="1" applyAlignment="1">
      <alignment horizontal="left"/>
    </xf>
    <xf numFmtId="0" fontId="6" fillId="26" borderId="57" xfId="0" applyFont="1" applyFill="1" applyBorder="1" applyAlignment="1">
      <alignment horizontal="left" vertical="top" wrapText="1"/>
    </xf>
    <xf numFmtId="165" fontId="6" fillId="26" borderId="43" xfId="0" applyNumberFormat="1" applyFont="1" applyFill="1" applyBorder="1" applyAlignment="1">
      <alignment horizontal="center" vertical="center"/>
    </xf>
    <xf numFmtId="165" fontId="13" fillId="26" borderId="20" xfId="0" applyNumberFormat="1" applyFont="1" applyFill="1" applyBorder="1" applyAlignment="1">
      <alignment/>
    </xf>
    <xf numFmtId="0" fontId="6" fillId="26" borderId="30" xfId="0" applyFont="1" applyFill="1" applyBorder="1" applyAlignment="1">
      <alignment horizontal="left" wrapText="1"/>
    </xf>
    <xf numFmtId="0" fontId="6" fillId="26" borderId="24" xfId="0" applyFont="1" applyFill="1" applyBorder="1" applyAlignment="1">
      <alignment wrapText="1"/>
    </xf>
    <xf numFmtId="0" fontId="6" fillId="26" borderId="57" xfId="0" applyFont="1" applyFill="1" applyBorder="1" applyAlignment="1">
      <alignment horizontal="left"/>
    </xf>
    <xf numFmtId="0" fontId="6" fillId="26" borderId="30" xfId="0" applyFont="1" applyFill="1" applyBorder="1" applyAlignment="1">
      <alignment horizontal="left"/>
    </xf>
    <xf numFmtId="0" fontId="6" fillId="26" borderId="54" xfId="0" applyFont="1" applyFill="1" applyBorder="1" applyAlignment="1">
      <alignment vertical="top" wrapText="1"/>
    </xf>
    <xf numFmtId="165" fontId="6" fillId="26" borderId="10" xfId="0" applyNumberFormat="1" applyFont="1" applyFill="1" applyBorder="1" applyAlignment="1">
      <alignment horizontal="center" vertical="center"/>
    </xf>
    <xf numFmtId="165" fontId="13" fillId="26" borderId="38" xfId="0" applyNumberFormat="1" applyFont="1" applyFill="1" applyBorder="1" applyAlignment="1">
      <alignment/>
    </xf>
    <xf numFmtId="0" fontId="23" fillId="0" borderId="0" xfId="0" applyFont="1" applyAlignment="1">
      <alignment horizontal="center" vertical="center"/>
    </xf>
    <xf numFmtId="166" fontId="23" fillId="0" borderId="0" xfId="0" applyNumberFormat="1" applyFont="1" applyAlignment="1">
      <alignment horizontal="center" vertical="center"/>
    </xf>
    <xf numFmtId="0" fontId="22" fillId="0" borderId="0" xfId="0" applyFont="1" applyAlignment="1">
      <alignment horizontal="center" vertical="center"/>
    </xf>
    <xf numFmtId="166" fontId="22" fillId="26" borderId="0" xfId="0" applyNumberFormat="1" applyFont="1" applyFill="1" applyAlignment="1">
      <alignment horizontal="right"/>
    </xf>
    <xf numFmtId="0" fontId="22" fillId="0" borderId="0" xfId="0" applyFont="1" applyFill="1" applyBorder="1" applyAlignment="1">
      <alignment wrapText="1"/>
    </xf>
    <xf numFmtId="0" fontId="23" fillId="0" borderId="0" xfId="0" applyFont="1" applyFill="1" applyAlignment="1">
      <alignment/>
    </xf>
    <xf numFmtId="0" fontId="22" fillId="0" borderId="0" xfId="0" applyFont="1" applyFill="1" applyAlignment="1">
      <alignment horizontal="right" vertical="center"/>
    </xf>
    <xf numFmtId="0" fontId="12" fillId="26" borderId="11" xfId="0" applyFont="1" applyFill="1" applyBorder="1" applyAlignment="1">
      <alignment horizontal="left"/>
    </xf>
    <xf numFmtId="0" fontId="6" fillId="26" borderId="11" xfId="0" applyFont="1" applyFill="1" applyBorder="1" applyAlignment="1">
      <alignment/>
    </xf>
    <xf numFmtId="0" fontId="2" fillId="26" borderId="11" xfId="0" applyFont="1" applyFill="1" applyBorder="1" applyAlignment="1">
      <alignment wrapText="1"/>
    </xf>
    <xf numFmtId="49" fontId="6" fillId="26" borderId="11" xfId="0" applyNumberFormat="1" applyFont="1" applyFill="1" applyBorder="1" applyAlignment="1">
      <alignment horizontal="left" vertical="top" wrapText="1"/>
    </xf>
    <xf numFmtId="9" fontId="0" fillId="26" borderId="0" xfId="0" applyNumberFormat="1" applyFill="1" applyAlignment="1">
      <alignment/>
    </xf>
    <xf numFmtId="49" fontId="1" fillId="26" borderId="11" xfId="0" applyNumberFormat="1" applyFont="1" applyFill="1" applyBorder="1" applyAlignment="1">
      <alignment horizontal="center" vertical="center" wrapText="1"/>
    </xf>
    <xf numFmtId="0" fontId="6" fillId="26" borderId="11" xfId="0" applyFont="1" applyFill="1" applyBorder="1" applyAlignment="1">
      <alignment horizontal="center" vertical="center" wrapText="1"/>
    </xf>
    <xf numFmtId="165" fontId="13" fillId="0" borderId="11" xfId="0" applyNumberFormat="1" applyFont="1" applyBorder="1" applyAlignment="1">
      <alignment horizontal="right" vertical="center"/>
    </xf>
    <xf numFmtId="0" fontId="6" fillId="26" borderId="27" xfId="0" applyFont="1" applyFill="1" applyBorder="1" applyAlignment="1">
      <alignment horizontal="left" vertical="top" wrapText="1"/>
    </xf>
    <xf numFmtId="0" fontId="74" fillId="0" borderId="57" xfId="0" applyFont="1" applyFill="1" applyBorder="1" applyAlignment="1">
      <alignment horizontal="left"/>
    </xf>
    <xf numFmtId="2" fontId="74" fillId="26" borderId="11" xfId="0" applyNumberFormat="1" applyFont="1" applyFill="1" applyBorder="1" applyAlignment="1">
      <alignment/>
    </xf>
    <xf numFmtId="0" fontId="74" fillId="26" borderId="11" xfId="0" applyFont="1" applyFill="1" applyBorder="1" applyAlignment="1">
      <alignment horizontal="justify" vertical="top" wrapText="1"/>
    </xf>
    <xf numFmtId="2" fontId="74" fillId="26" borderId="11" xfId="0" applyNumberFormat="1" applyFont="1" applyFill="1" applyBorder="1" applyAlignment="1">
      <alignment horizontal="center"/>
    </xf>
    <xf numFmtId="0" fontId="6" fillId="0" borderId="0" xfId="0" applyFont="1" applyAlignment="1">
      <alignment horizontal="left" vertical="center"/>
    </xf>
    <xf numFmtId="0" fontId="26" fillId="0" borderId="0" xfId="0" applyFont="1" applyFill="1" applyAlignment="1">
      <alignment horizontal="right" vertical="center"/>
    </xf>
    <xf numFmtId="166" fontId="13" fillId="0" borderId="0" xfId="0" applyNumberFormat="1" applyFont="1" applyAlignment="1">
      <alignment vertical="center"/>
    </xf>
    <xf numFmtId="165" fontId="13" fillId="0" borderId="0" xfId="0" applyNumberFormat="1" applyFont="1" applyBorder="1" applyAlignment="1">
      <alignment horizontal="right"/>
    </xf>
    <xf numFmtId="165" fontId="13" fillId="26" borderId="11" xfId="0" applyNumberFormat="1" applyFont="1" applyFill="1" applyBorder="1" applyAlignment="1">
      <alignment horizontal="center"/>
    </xf>
    <xf numFmtId="0" fontId="2" fillId="24" borderId="13" xfId="0" applyFont="1" applyFill="1" applyBorder="1" applyAlignment="1">
      <alignment horizontal="left" vertical="center" wrapText="1"/>
    </xf>
    <xf numFmtId="0" fontId="1" fillId="24" borderId="16" xfId="0" applyFont="1" applyFill="1" applyBorder="1" applyAlignment="1">
      <alignment horizontal="center" vertical="center" wrapText="1"/>
    </xf>
    <xf numFmtId="165" fontId="0" fillId="0" borderId="11" xfId="0" applyNumberFormat="1" applyBorder="1" applyAlignment="1">
      <alignment/>
    </xf>
    <xf numFmtId="0" fontId="6" fillId="0" borderId="56" xfId="0" applyFont="1" applyFill="1" applyBorder="1" applyAlignment="1">
      <alignment vertical="top" wrapText="1"/>
    </xf>
    <xf numFmtId="0" fontId="6" fillId="0" borderId="23" xfId="0" applyFont="1" applyFill="1" applyBorder="1" applyAlignment="1">
      <alignment vertical="top" wrapText="1"/>
    </xf>
    <xf numFmtId="0" fontId="6" fillId="0" borderId="56" xfId="0" applyFont="1" applyFill="1" applyBorder="1" applyAlignment="1">
      <alignment/>
    </xf>
    <xf numFmtId="0" fontId="13" fillId="0" borderId="28" xfId="0" applyFont="1" applyFill="1" applyBorder="1" applyAlignment="1">
      <alignment horizontal="left" vertical="top" wrapText="1"/>
    </xf>
    <xf numFmtId="17" fontId="13" fillId="0" borderId="24" xfId="0" applyNumberFormat="1" applyFont="1" applyFill="1" applyBorder="1" applyAlignment="1">
      <alignment horizontal="left" vertical="top" wrapText="1"/>
    </xf>
    <xf numFmtId="0" fontId="74" fillId="0" borderId="0" xfId="0" applyFont="1" applyAlignment="1">
      <alignment horizontal="left"/>
    </xf>
    <xf numFmtId="0" fontId="1" fillId="26" borderId="11" xfId="0" applyFont="1" applyFill="1" applyBorder="1" applyAlignment="1">
      <alignment horizontal="right" vertical="top" wrapText="1"/>
    </xf>
    <xf numFmtId="0" fontId="1" fillId="26" borderId="11" xfId="0" applyFont="1" applyFill="1" applyBorder="1" applyAlignment="1">
      <alignment horizontal="right" vertical="top" wrapText="1"/>
    </xf>
    <xf numFmtId="0" fontId="26" fillId="0" borderId="0" xfId="0" applyFont="1" applyBorder="1" applyAlignment="1">
      <alignment horizontal="center"/>
    </xf>
    <xf numFmtId="0" fontId="9" fillId="0" borderId="0" xfId="0" applyFont="1" applyBorder="1" applyAlignment="1">
      <alignment horizontal="center"/>
    </xf>
    <xf numFmtId="165" fontId="0" fillId="0" borderId="0" xfId="0" applyNumberFormat="1" applyFont="1" applyAlignment="1">
      <alignment horizontal="right"/>
    </xf>
    <xf numFmtId="165" fontId="0" fillId="0" borderId="0" xfId="0" applyNumberFormat="1" applyFont="1" applyAlignment="1">
      <alignment horizontal="right" vertical="center"/>
    </xf>
    <xf numFmtId="0" fontId="26" fillId="0" borderId="0" xfId="0" applyFont="1" applyFill="1" applyBorder="1" applyAlignment="1">
      <alignment horizontal="center"/>
    </xf>
    <xf numFmtId="0" fontId="1" fillId="26" borderId="11" xfId="0" applyFont="1" applyFill="1" applyBorder="1" applyAlignment="1">
      <alignment horizontal="center" vertical="top" wrapText="1"/>
    </xf>
    <xf numFmtId="0" fontId="6" fillId="0" borderId="0" xfId="0" applyFont="1" applyAlignment="1">
      <alignment horizontal="left" vertical="center" wrapText="1"/>
    </xf>
    <xf numFmtId="0" fontId="13" fillId="26" borderId="37" xfId="0" applyFont="1" applyFill="1" applyBorder="1" applyAlignment="1">
      <alignment horizontal="left"/>
    </xf>
    <xf numFmtId="0" fontId="13" fillId="26" borderId="64" xfId="0" applyFont="1" applyFill="1" applyBorder="1" applyAlignment="1">
      <alignment/>
    </xf>
    <xf numFmtId="165" fontId="13" fillId="26" borderId="22" xfId="0" applyNumberFormat="1" applyFont="1" applyFill="1" applyBorder="1" applyAlignment="1">
      <alignment/>
    </xf>
    <xf numFmtId="0" fontId="13" fillId="26" borderId="28" xfId="0" applyFont="1" applyFill="1" applyBorder="1" applyAlignment="1">
      <alignment horizontal="left" vertical="top" wrapText="1"/>
    </xf>
    <xf numFmtId="0" fontId="6" fillId="26" borderId="64" xfId="0" applyFont="1" applyFill="1" applyBorder="1" applyAlignment="1">
      <alignment horizontal="left"/>
    </xf>
    <xf numFmtId="0" fontId="13" fillId="0" borderId="10" xfId="0" applyFont="1" applyFill="1" applyBorder="1" applyAlignment="1">
      <alignment horizontal="left" vertical="top" wrapText="1"/>
    </xf>
    <xf numFmtId="0" fontId="13" fillId="26" borderId="29" xfId="0" applyFont="1" applyFill="1" applyBorder="1" applyAlignment="1">
      <alignment horizontal="left" vertical="top" wrapText="1"/>
    </xf>
    <xf numFmtId="0" fontId="6" fillId="26" borderId="24"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4" xfId="0" applyFont="1" applyFill="1" applyBorder="1" applyAlignment="1">
      <alignment horizontal="left"/>
    </xf>
    <xf numFmtId="0" fontId="6" fillId="26" borderId="24" xfId="0" applyFont="1" applyFill="1" applyBorder="1" applyAlignment="1">
      <alignment horizontal="left"/>
    </xf>
    <xf numFmtId="0" fontId="6" fillId="0" borderId="31" xfId="0" applyFont="1" applyFill="1" applyBorder="1" applyAlignment="1">
      <alignment horizontal="left"/>
    </xf>
    <xf numFmtId="0" fontId="6" fillId="0" borderId="42" xfId="0" applyFont="1" applyFill="1" applyBorder="1" applyAlignment="1">
      <alignment vertical="top" wrapText="1"/>
    </xf>
    <xf numFmtId="0" fontId="13" fillId="0" borderId="43" xfId="0" applyFont="1" applyFill="1" applyBorder="1" applyAlignment="1">
      <alignment horizontal="left" vertical="top" wrapText="1"/>
    </xf>
    <xf numFmtId="205" fontId="6" fillId="26" borderId="21" xfId="43" applyNumberFormat="1" applyFont="1" applyFill="1" applyBorder="1" applyAlignment="1">
      <alignment horizontal="center" vertical="center"/>
    </xf>
    <xf numFmtId="0" fontId="13" fillId="26" borderId="24" xfId="0" applyFont="1" applyFill="1" applyBorder="1" applyAlignment="1">
      <alignment horizontal="left" vertical="top" wrapText="1"/>
    </xf>
    <xf numFmtId="0" fontId="6" fillId="0" borderId="51" xfId="0" applyFont="1" applyFill="1" applyBorder="1" applyAlignment="1">
      <alignment horizontal="left"/>
    </xf>
    <xf numFmtId="0" fontId="6" fillId="0" borderId="52" xfId="0" applyFont="1" applyFill="1" applyBorder="1" applyAlignment="1">
      <alignment horizontal="left"/>
    </xf>
    <xf numFmtId="0" fontId="6" fillId="0" borderId="36" xfId="0" applyFont="1" applyFill="1" applyBorder="1" applyAlignment="1">
      <alignment horizontal="left"/>
    </xf>
    <xf numFmtId="0" fontId="6" fillId="0" borderId="25" xfId="0" applyFont="1" applyFill="1" applyBorder="1" applyAlignment="1">
      <alignment vertical="top" wrapText="1"/>
    </xf>
    <xf numFmtId="0" fontId="6" fillId="26" borderId="21" xfId="0" applyFont="1" applyFill="1" applyBorder="1" applyAlignment="1">
      <alignment/>
    </xf>
    <xf numFmtId="0" fontId="6" fillId="26" borderId="55" xfId="0" applyFont="1" applyFill="1" applyBorder="1" applyAlignment="1">
      <alignment vertical="top" wrapText="1"/>
    </xf>
    <xf numFmtId="0" fontId="6" fillId="26" borderId="24" xfId="0" applyFont="1" applyFill="1" applyBorder="1" applyAlignment="1">
      <alignment/>
    </xf>
    <xf numFmtId="0" fontId="6" fillId="26" borderId="31" xfId="0" applyFont="1" applyFill="1" applyBorder="1" applyAlignment="1">
      <alignment/>
    </xf>
    <xf numFmtId="0" fontId="6" fillId="26" borderId="23" xfId="0" applyFont="1" applyFill="1" applyBorder="1" applyAlignment="1">
      <alignment vertical="top" wrapText="1"/>
    </xf>
    <xf numFmtId="14" fontId="6" fillId="24" borderId="11" xfId="0" applyNumberFormat="1" applyFont="1" applyFill="1" applyBorder="1" applyAlignment="1">
      <alignment horizontal="left" vertical="top" wrapText="1"/>
    </xf>
    <xf numFmtId="165" fontId="6" fillId="0" borderId="11" xfId="0" applyNumberFormat="1" applyFont="1" applyBorder="1" applyAlignment="1">
      <alignment vertical="center"/>
    </xf>
    <xf numFmtId="0" fontId="6" fillId="26" borderId="50" xfId="0" applyFont="1" applyFill="1" applyBorder="1" applyAlignment="1">
      <alignment horizontal="left"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9" fillId="0" borderId="11" xfId="0"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165" fontId="6" fillId="0" borderId="0" xfId="0" applyNumberFormat="1" applyFont="1" applyFill="1" applyAlignment="1">
      <alignment horizontal="right" vertical="top"/>
    </xf>
    <xf numFmtId="165" fontId="19" fillId="0" borderId="11" xfId="0" applyNumberFormat="1" applyFont="1" applyFill="1" applyBorder="1" applyAlignment="1">
      <alignment horizontal="right" vertical="top" wrapText="1"/>
    </xf>
    <xf numFmtId="165" fontId="0" fillId="0" borderId="0" xfId="0" applyNumberFormat="1" applyFont="1" applyFill="1" applyAlignment="1">
      <alignment horizontal="right"/>
    </xf>
    <xf numFmtId="1" fontId="2" fillId="26" borderId="32" xfId="0" applyNumberFormat="1" applyFont="1" applyFill="1" applyBorder="1" applyAlignment="1">
      <alignment horizontal="left" vertical="top" wrapText="1"/>
    </xf>
    <xf numFmtId="0" fontId="1" fillId="26" borderId="23" xfId="0" applyFont="1" applyFill="1" applyBorder="1" applyAlignment="1">
      <alignment vertical="top" wrapText="1"/>
    </xf>
    <xf numFmtId="166" fontId="13" fillId="26" borderId="11" xfId="0" applyNumberFormat="1" applyFont="1" applyFill="1" applyBorder="1" applyAlignment="1">
      <alignment horizontal="center" vertical="center"/>
    </xf>
    <xf numFmtId="2" fontId="1" fillId="26" borderId="11" xfId="0" applyNumberFormat="1" applyFont="1" applyFill="1" applyBorder="1" applyAlignment="1">
      <alignment horizontal="center" vertical="center" wrapText="1"/>
    </xf>
    <xf numFmtId="0" fontId="6" fillId="26" borderId="32" xfId="0" applyFont="1" applyFill="1" applyBorder="1" applyAlignment="1">
      <alignment horizontal="left"/>
    </xf>
    <xf numFmtId="0" fontId="13" fillId="0" borderId="18" xfId="0" applyFont="1" applyFill="1" applyBorder="1" applyAlignment="1">
      <alignment horizontal="left" vertical="top" wrapText="1"/>
    </xf>
    <xf numFmtId="165" fontId="6" fillId="26" borderId="23" xfId="0" applyNumberFormat="1" applyFont="1" applyFill="1" applyBorder="1" applyAlignment="1">
      <alignment/>
    </xf>
    <xf numFmtId="0" fontId="2" fillId="24" borderId="10" xfId="0" applyFont="1" applyFill="1" applyBorder="1" applyAlignment="1">
      <alignment horizontal="left" vertical="top" wrapText="1"/>
    </xf>
    <xf numFmtId="0" fontId="2" fillId="24" borderId="10" xfId="0" applyFont="1" applyFill="1" applyBorder="1" applyAlignment="1">
      <alignment horizontal="center" vertical="top" wrapText="1"/>
    </xf>
    <xf numFmtId="166" fontId="2" fillId="0" borderId="10" xfId="0" applyNumberFormat="1" applyFont="1" applyFill="1" applyBorder="1" applyAlignment="1">
      <alignment horizontal="center" vertical="center" wrapText="1"/>
    </xf>
    <xf numFmtId="165" fontId="6" fillId="26" borderId="11" xfId="0" applyNumberFormat="1" applyFont="1" applyFill="1" applyBorder="1" applyAlignment="1">
      <alignment horizontal="center" vertical="center"/>
    </xf>
    <xf numFmtId="0" fontId="2" fillId="26" borderId="11" xfId="0" applyFont="1" applyFill="1" applyBorder="1" applyAlignment="1">
      <alignment horizontal="left" vertical="top" wrapText="1"/>
    </xf>
    <xf numFmtId="0" fontId="75" fillId="27" borderId="11" xfId="0" applyFont="1" applyFill="1" applyBorder="1" applyAlignment="1">
      <alignment vertical="top" wrapText="1"/>
    </xf>
    <xf numFmtId="0" fontId="75" fillId="0" borderId="11" xfId="0" applyFont="1" applyBorder="1" applyAlignment="1">
      <alignment vertical="top" wrapText="1"/>
    </xf>
    <xf numFmtId="165" fontId="13" fillId="26" borderId="11" xfId="0" applyNumberFormat="1" applyFont="1" applyFill="1" applyBorder="1" applyAlignment="1">
      <alignment vertical="center"/>
    </xf>
    <xf numFmtId="49" fontId="6" fillId="0" borderId="11" xfId="0" applyNumberFormat="1" applyFont="1" applyBorder="1" applyAlignment="1">
      <alignment vertical="top" wrapText="1"/>
    </xf>
    <xf numFmtId="0" fontId="0" fillId="0" borderId="0" xfId="0" applyFill="1" applyAlignment="1">
      <alignment horizontal="right"/>
    </xf>
    <xf numFmtId="0" fontId="6" fillId="26" borderId="0" xfId="0" applyFont="1" applyFill="1" applyBorder="1" applyAlignment="1">
      <alignment horizontal="left" vertical="top" wrapText="1"/>
    </xf>
    <xf numFmtId="0" fontId="2" fillId="26" borderId="0" xfId="0" applyFont="1" applyFill="1" applyBorder="1" applyAlignment="1">
      <alignment vertical="top" wrapText="1"/>
    </xf>
    <xf numFmtId="0" fontId="1" fillId="26" borderId="0" xfId="0" applyFont="1" applyFill="1" applyBorder="1" applyAlignment="1">
      <alignment horizontal="center" vertical="center" wrapText="1"/>
    </xf>
    <xf numFmtId="0" fontId="1" fillId="26" borderId="0" xfId="0" applyFont="1" applyFill="1" applyBorder="1" applyAlignment="1">
      <alignment horizontal="center" vertical="top" wrapText="1"/>
    </xf>
    <xf numFmtId="1" fontId="13" fillId="26" borderId="0" xfId="0" applyNumberFormat="1" applyFont="1" applyFill="1" applyBorder="1" applyAlignment="1">
      <alignment horizontal="center"/>
    </xf>
    <xf numFmtId="1" fontId="13" fillId="26" borderId="0" xfId="0" applyNumberFormat="1" applyFont="1" applyFill="1" applyBorder="1" applyAlignment="1">
      <alignment/>
    </xf>
    <xf numFmtId="165" fontId="13" fillId="26" borderId="0" xfId="0" applyNumberFormat="1" applyFont="1" applyFill="1" applyBorder="1" applyAlignment="1">
      <alignment/>
    </xf>
    <xf numFmtId="165" fontId="13" fillId="0" borderId="17" xfId="0" applyNumberFormat="1" applyFont="1" applyFill="1" applyBorder="1" applyAlignment="1">
      <alignment horizontal="center" wrapText="1"/>
    </xf>
    <xf numFmtId="165" fontId="13" fillId="26" borderId="11" xfId="0" applyNumberFormat="1" applyFont="1" applyFill="1" applyBorder="1" applyAlignment="1">
      <alignment horizontal="center" wrapText="1"/>
    </xf>
    <xf numFmtId="0" fontId="1" fillId="26" borderId="11" xfId="0" applyFont="1" applyFill="1" applyBorder="1" applyAlignment="1">
      <alignment horizontal="center" vertical="top" wrapText="1"/>
    </xf>
    <xf numFmtId="165" fontId="6" fillId="26" borderId="17" xfId="0" applyNumberFormat="1" applyFont="1" applyFill="1" applyBorder="1" applyAlignment="1">
      <alignment/>
    </xf>
    <xf numFmtId="0" fontId="2" fillId="24" borderId="29" xfId="0" applyFont="1" applyFill="1" applyBorder="1" applyAlignment="1">
      <alignment horizontal="left" vertical="top" wrapText="1"/>
    </xf>
    <xf numFmtId="165" fontId="6" fillId="26" borderId="21" xfId="0" applyNumberFormat="1" applyFont="1" applyFill="1" applyBorder="1" applyAlignment="1">
      <alignment/>
    </xf>
    <xf numFmtId="0" fontId="2" fillId="24" borderId="34" xfId="0" applyFont="1" applyFill="1" applyBorder="1" applyAlignment="1">
      <alignment horizontal="left" vertical="top" wrapText="1"/>
    </xf>
    <xf numFmtId="0" fontId="2" fillId="0" borderId="31" xfId="0" applyFont="1" applyFill="1" applyBorder="1" applyAlignment="1">
      <alignment vertical="center" wrapText="1"/>
    </xf>
    <xf numFmtId="165" fontId="6" fillId="26" borderId="42" xfId="0" applyNumberFormat="1" applyFont="1" applyFill="1" applyBorder="1" applyAlignment="1">
      <alignment/>
    </xf>
    <xf numFmtId="165" fontId="6" fillId="28" borderId="11" xfId="0" applyNumberFormat="1" applyFont="1" applyFill="1" applyBorder="1" applyAlignment="1">
      <alignment/>
    </xf>
    <xf numFmtId="0" fontId="0" fillId="28" borderId="0" xfId="0" applyFill="1" applyAlignment="1">
      <alignment/>
    </xf>
    <xf numFmtId="0" fontId="12" fillId="26" borderId="0" xfId="0" applyFont="1" applyFill="1" applyAlignment="1">
      <alignment horizontal="left"/>
    </xf>
    <xf numFmtId="0" fontId="0" fillId="26" borderId="0" xfId="0" applyFill="1" applyAlignment="1">
      <alignment/>
    </xf>
    <xf numFmtId="1" fontId="0" fillId="26" borderId="0" xfId="0" applyNumberFormat="1" applyFill="1" applyAlignment="1">
      <alignment/>
    </xf>
    <xf numFmtId="1" fontId="1" fillId="26" borderId="0" xfId="0" applyNumberFormat="1" applyFont="1" applyFill="1" applyAlignment="1">
      <alignment horizontal="right" vertical="center"/>
    </xf>
    <xf numFmtId="1" fontId="2" fillId="26" borderId="0" xfId="0" applyNumberFormat="1" applyFont="1" applyFill="1" applyAlignment="1">
      <alignment horizontal="right" vertical="center"/>
    </xf>
    <xf numFmtId="1" fontId="2" fillId="26" borderId="11" xfId="0" applyNumberFormat="1" applyFont="1" applyFill="1" applyBorder="1" applyAlignment="1">
      <alignment horizontal="center" vertical="center" wrapText="1"/>
    </xf>
    <xf numFmtId="1" fontId="1" fillId="26" borderId="11" xfId="0" applyNumberFormat="1" applyFont="1" applyFill="1" applyBorder="1" applyAlignment="1">
      <alignment horizontal="center" vertical="center" wrapText="1"/>
    </xf>
    <xf numFmtId="0" fontId="13" fillId="26" borderId="11" xfId="0" applyFont="1" applyFill="1" applyBorder="1" applyAlignment="1">
      <alignment horizontal="center"/>
    </xf>
    <xf numFmtId="0" fontId="13" fillId="26" borderId="0" xfId="0" applyFont="1" applyFill="1" applyAlignment="1">
      <alignment horizontal="left"/>
    </xf>
    <xf numFmtId="0" fontId="13" fillId="26" borderId="0" xfId="0" applyFont="1" applyFill="1" applyAlignment="1">
      <alignment/>
    </xf>
    <xf numFmtId="0" fontId="13" fillId="26" borderId="0" xfId="0" applyFont="1" applyFill="1" applyAlignment="1">
      <alignment horizontal="center" vertical="center"/>
    </xf>
    <xf numFmtId="0" fontId="13" fillId="26" borderId="0" xfId="0" applyFont="1" applyFill="1" applyAlignment="1">
      <alignment horizontal="center"/>
    </xf>
    <xf numFmtId="1" fontId="13" fillId="26" borderId="0" xfId="0" applyNumberFormat="1" applyFont="1" applyFill="1" applyAlignment="1">
      <alignment horizontal="center" vertical="center"/>
    </xf>
    <xf numFmtId="1" fontId="13" fillId="26" borderId="0" xfId="0" applyNumberFormat="1" applyFont="1" applyFill="1" applyAlignment="1">
      <alignment/>
    </xf>
    <xf numFmtId="0" fontId="6" fillId="26" borderId="0" xfId="0" applyFont="1" applyFill="1" applyAlignment="1">
      <alignment horizontal="left"/>
    </xf>
    <xf numFmtId="0" fontId="22" fillId="26" borderId="0" xfId="0" applyFont="1" applyFill="1" applyAlignment="1">
      <alignment/>
    </xf>
    <xf numFmtId="0" fontId="6" fillId="26" borderId="0" xfId="0" applyFont="1" applyFill="1" applyAlignment="1">
      <alignment horizontal="center"/>
    </xf>
    <xf numFmtId="1" fontId="6" fillId="26" borderId="0" xfId="0" applyNumberFormat="1" applyFont="1" applyFill="1" applyAlignment="1">
      <alignment horizontal="center" vertical="center"/>
    </xf>
    <xf numFmtId="0" fontId="26" fillId="26" borderId="0" xfId="0" applyFont="1" applyFill="1" applyBorder="1" applyAlignment="1">
      <alignment vertical="center" wrapText="1"/>
    </xf>
    <xf numFmtId="2" fontId="3" fillId="26" borderId="0" xfId="0" applyNumberFormat="1" applyFont="1" applyFill="1" applyAlignment="1">
      <alignment/>
    </xf>
    <xf numFmtId="3" fontId="3" fillId="26" borderId="0" xfId="0" applyNumberFormat="1" applyFont="1" applyFill="1" applyAlignment="1">
      <alignment vertical="center"/>
    </xf>
    <xf numFmtId="0" fontId="26" fillId="26" borderId="0" xfId="0" applyFont="1" applyFill="1" applyAlignment="1">
      <alignment horizontal="left" vertical="center"/>
    </xf>
    <xf numFmtId="0" fontId="6" fillId="26" borderId="0" xfId="0" applyFont="1" applyFill="1" applyAlignment="1">
      <alignment/>
    </xf>
    <xf numFmtId="1" fontId="6" fillId="26" borderId="0" xfId="0" applyNumberFormat="1" applyFont="1" applyFill="1" applyAlignment="1">
      <alignment horizontal="center" vertical="center"/>
    </xf>
    <xf numFmtId="165" fontId="13" fillId="28" borderId="11" xfId="0" applyNumberFormat="1" applyFont="1" applyFill="1" applyBorder="1" applyAlignment="1">
      <alignment/>
    </xf>
    <xf numFmtId="0" fontId="6" fillId="26" borderId="26" xfId="0" applyFont="1" applyFill="1" applyBorder="1" applyAlignment="1">
      <alignment horizontal="left" vertical="top" wrapText="1"/>
    </xf>
    <xf numFmtId="0" fontId="6" fillId="26" borderId="40" xfId="0" applyFont="1" applyFill="1" applyBorder="1" applyAlignment="1">
      <alignment horizontal="left"/>
    </xf>
    <xf numFmtId="0" fontId="6" fillId="26" borderId="37" xfId="0" applyFont="1" applyFill="1" applyBorder="1" applyAlignment="1">
      <alignment horizontal="left" vertical="top" wrapText="1"/>
    </xf>
    <xf numFmtId="0" fontId="6" fillId="26" borderId="34" xfId="0" applyFont="1" applyFill="1" applyBorder="1" applyAlignment="1">
      <alignment vertical="top" wrapText="1"/>
    </xf>
    <xf numFmtId="0" fontId="6" fillId="26" borderId="33" xfId="0" applyFont="1" applyFill="1" applyBorder="1" applyAlignment="1">
      <alignment horizontal="left"/>
    </xf>
    <xf numFmtId="0" fontId="6" fillId="26" borderId="31" xfId="0" applyFont="1" applyFill="1" applyBorder="1" applyAlignment="1">
      <alignment vertical="top" wrapText="1"/>
    </xf>
    <xf numFmtId="0" fontId="0" fillId="26" borderId="0" xfId="0" applyFont="1" applyFill="1" applyAlignment="1">
      <alignment/>
    </xf>
    <xf numFmtId="167" fontId="6" fillId="28" borderId="11" xfId="0" applyNumberFormat="1" applyFont="1" applyFill="1" applyBorder="1" applyAlignment="1">
      <alignment horizontal="left"/>
    </xf>
    <xf numFmtId="167" fontId="6" fillId="28" borderId="11" xfId="0" applyNumberFormat="1" applyFont="1" applyFill="1" applyBorder="1" applyAlignment="1">
      <alignment/>
    </xf>
    <xf numFmtId="2" fontId="2" fillId="28" borderId="11" xfId="0" applyNumberFormat="1" applyFont="1" applyFill="1" applyBorder="1" applyAlignment="1">
      <alignment horizontal="center" vertical="center" wrapText="1"/>
    </xf>
    <xf numFmtId="167" fontId="2" fillId="28" borderId="11" xfId="0" applyNumberFormat="1" applyFont="1" applyFill="1" applyBorder="1" applyAlignment="1">
      <alignment horizontal="center" vertical="top" wrapText="1"/>
    </xf>
    <xf numFmtId="166" fontId="6" fillId="28" borderId="11" xfId="0" applyNumberFormat="1" applyFont="1" applyFill="1" applyBorder="1" applyAlignment="1">
      <alignment horizontal="center" vertical="center"/>
    </xf>
    <xf numFmtId="166" fontId="13" fillId="28" borderId="11" xfId="0" applyNumberFormat="1" applyFont="1" applyFill="1" applyBorder="1" applyAlignment="1">
      <alignment/>
    </xf>
    <xf numFmtId="9" fontId="0" fillId="28" borderId="0" xfId="0" applyNumberFormat="1" applyFill="1" applyAlignment="1">
      <alignment/>
    </xf>
    <xf numFmtId="167" fontId="2" fillId="28" borderId="11" xfId="0" applyNumberFormat="1" applyFont="1" applyFill="1" applyBorder="1" applyAlignment="1">
      <alignment horizontal="left" vertical="top" wrapText="1"/>
    </xf>
    <xf numFmtId="167" fontId="6" fillId="28" borderId="11" xfId="0" applyNumberFormat="1" applyFont="1" applyFill="1" applyBorder="1" applyAlignment="1">
      <alignment vertical="top" wrapText="1"/>
    </xf>
    <xf numFmtId="0" fontId="1" fillId="26" borderId="11" xfId="0" applyFont="1" applyFill="1" applyBorder="1" applyAlignment="1">
      <alignment horizontal="center" vertical="top" wrapText="1"/>
    </xf>
    <xf numFmtId="0" fontId="13" fillId="0" borderId="11" xfId="0" applyFont="1" applyBorder="1" applyAlignment="1">
      <alignment/>
    </xf>
    <xf numFmtId="14" fontId="6" fillId="26" borderId="11" xfId="0" applyNumberFormat="1" applyFont="1" applyFill="1" applyBorder="1" applyAlignment="1">
      <alignment horizontal="left" vertical="top" wrapText="1"/>
    </xf>
    <xf numFmtId="0" fontId="6" fillId="26" borderId="53"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26" borderId="57" xfId="0" applyFont="1" applyFill="1" applyBorder="1" applyAlignment="1">
      <alignment vertical="top" wrapText="1"/>
    </xf>
    <xf numFmtId="0" fontId="13" fillId="0" borderId="58" xfId="0" applyFont="1" applyFill="1" applyBorder="1" applyAlignment="1">
      <alignment horizontal="left" vertical="top" wrapText="1"/>
    </xf>
    <xf numFmtId="0" fontId="74" fillId="0" borderId="24" xfId="0" applyFont="1" applyFill="1" applyBorder="1" applyAlignment="1">
      <alignment vertical="top" wrapText="1"/>
    </xf>
    <xf numFmtId="2" fontId="6" fillId="26" borderId="42" xfId="0" applyNumberFormat="1" applyFont="1" applyFill="1" applyBorder="1" applyAlignment="1">
      <alignment horizontal="center" vertical="center"/>
    </xf>
    <xf numFmtId="0" fontId="28" fillId="0" borderId="14" xfId="0" applyFont="1" applyFill="1" applyBorder="1" applyAlignment="1">
      <alignment/>
    </xf>
    <xf numFmtId="0" fontId="4" fillId="0" borderId="10" xfId="0" applyFont="1" applyFill="1" applyBorder="1" applyAlignment="1">
      <alignment horizontal="center" vertical="center" wrapText="1"/>
    </xf>
    <xf numFmtId="0" fontId="0" fillId="26" borderId="11" xfId="0" applyFont="1" applyFill="1" applyBorder="1" applyAlignment="1">
      <alignment/>
    </xf>
    <xf numFmtId="165" fontId="13" fillId="26" borderId="14" xfId="0" applyNumberFormat="1" applyFont="1" applyFill="1" applyBorder="1" applyAlignment="1">
      <alignment horizontal="center"/>
    </xf>
    <xf numFmtId="0" fontId="2" fillId="26" borderId="32" xfId="0" applyFont="1" applyFill="1" applyBorder="1" applyAlignment="1">
      <alignment horizontal="left" vertical="top" wrapText="1"/>
    </xf>
    <xf numFmtId="0" fontId="2" fillId="26" borderId="23" xfId="0" applyFont="1" applyFill="1" applyBorder="1" applyAlignment="1">
      <alignment vertical="top" wrapText="1"/>
    </xf>
    <xf numFmtId="44" fontId="6" fillId="26" borderId="29" xfId="43" applyFont="1" applyFill="1" applyBorder="1" applyAlignment="1">
      <alignment/>
    </xf>
    <xf numFmtId="0" fontId="6" fillId="0" borderId="27" xfId="0" applyFont="1" applyFill="1" applyBorder="1" applyAlignment="1">
      <alignment horizontal="left" vertical="top" wrapText="1"/>
    </xf>
    <xf numFmtId="0" fontId="13" fillId="0" borderId="24" xfId="0" applyFont="1" applyFill="1" applyBorder="1" applyAlignment="1">
      <alignment horizontal="left" vertical="top" wrapText="1"/>
    </xf>
    <xf numFmtId="2" fontId="0" fillId="0" borderId="0" xfId="0" applyNumberFormat="1" applyBorder="1" applyAlignment="1">
      <alignment/>
    </xf>
    <xf numFmtId="0" fontId="2" fillId="26" borderId="33" xfId="0" applyFont="1" applyFill="1" applyBorder="1" applyAlignment="1">
      <alignment horizontal="left" vertical="top" wrapText="1"/>
    </xf>
    <xf numFmtId="0" fontId="2" fillId="26" borderId="25" xfId="0" applyFont="1" applyFill="1" applyBorder="1" applyAlignment="1">
      <alignment horizontal="left" vertical="top" wrapText="1"/>
    </xf>
    <xf numFmtId="0" fontId="2" fillId="26" borderId="26" xfId="0" applyFont="1" applyFill="1" applyBorder="1" applyAlignment="1">
      <alignment horizontal="left" vertical="top" wrapText="1"/>
    </xf>
    <xf numFmtId="0" fontId="2" fillId="26" borderId="44" xfId="0" applyFont="1" applyFill="1" applyBorder="1" applyAlignment="1">
      <alignment vertical="top" wrapText="1"/>
    </xf>
    <xf numFmtId="2" fontId="6" fillId="26" borderId="21" xfId="0" applyNumberFormat="1" applyFont="1" applyFill="1" applyBorder="1" applyAlignment="1">
      <alignment horizontal="center" vertical="center"/>
    </xf>
    <xf numFmtId="0" fontId="6" fillId="26" borderId="0" xfId="0" applyFont="1" applyFill="1" applyBorder="1" applyAlignment="1">
      <alignment horizontal="left"/>
    </xf>
    <xf numFmtId="0" fontId="6" fillId="26" borderId="0" xfId="0" applyFont="1" applyFill="1" applyBorder="1" applyAlignment="1">
      <alignment vertical="top" wrapText="1"/>
    </xf>
    <xf numFmtId="165" fontId="6" fillId="26" borderId="0" xfId="0" applyNumberFormat="1" applyFont="1" applyFill="1" applyBorder="1" applyAlignment="1">
      <alignment horizontal="center" vertical="center"/>
    </xf>
    <xf numFmtId="0" fontId="28" fillId="26" borderId="0" xfId="0" applyFont="1" applyFill="1" applyBorder="1" applyAlignment="1">
      <alignment/>
    </xf>
    <xf numFmtId="0" fontId="1" fillId="26" borderId="11" xfId="0" applyFont="1" applyFill="1" applyBorder="1" applyAlignment="1">
      <alignment vertical="top" wrapText="1"/>
    </xf>
    <xf numFmtId="0" fontId="6" fillId="26" borderId="10" xfId="0" applyFont="1" applyFill="1" applyBorder="1" applyAlignment="1">
      <alignment horizontal="center" vertical="center" wrapText="1"/>
    </xf>
    <xf numFmtId="0" fontId="6" fillId="26" borderId="10" xfId="0" applyFont="1" applyFill="1" applyBorder="1" applyAlignment="1">
      <alignment vertical="center" wrapText="1"/>
    </xf>
    <xf numFmtId="165" fontId="13" fillId="26" borderId="10" xfId="0" applyNumberFormat="1" applyFont="1" applyFill="1" applyBorder="1" applyAlignment="1">
      <alignment horizontal="center"/>
    </xf>
    <xf numFmtId="0" fontId="8" fillId="26" borderId="0" xfId="0" applyFont="1" applyFill="1" applyAlignment="1">
      <alignment/>
    </xf>
    <xf numFmtId="0" fontId="76" fillId="0" borderId="0" xfId="0" applyFont="1" applyAlignment="1">
      <alignment/>
    </xf>
    <xf numFmtId="0" fontId="60" fillId="0" borderId="0" xfId="0" applyFont="1" applyAlignment="1">
      <alignment/>
    </xf>
    <xf numFmtId="0" fontId="51" fillId="0" borderId="0" xfId="0" applyFont="1" applyAlignment="1">
      <alignment horizontal="right"/>
    </xf>
    <xf numFmtId="0" fontId="61" fillId="0" borderId="0" xfId="0" applyFont="1" applyAlignment="1">
      <alignment/>
    </xf>
    <xf numFmtId="0" fontId="51" fillId="0" borderId="0" xfId="0" applyFont="1" applyAlignment="1">
      <alignment horizontal="left"/>
    </xf>
    <xf numFmtId="0" fontId="3" fillId="0" borderId="65" xfId="0" applyFont="1" applyBorder="1" applyAlignment="1">
      <alignment wrapText="1"/>
    </xf>
    <xf numFmtId="0" fontId="77" fillId="0" borderId="65" xfId="0" applyFont="1" applyBorder="1" applyAlignment="1">
      <alignment wrapText="1"/>
    </xf>
    <xf numFmtId="0" fontId="77" fillId="0" borderId="66" xfId="0" applyFont="1" applyFill="1" applyBorder="1" applyAlignment="1">
      <alignment wrapText="1"/>
    </xf>
    <xf numFmtId="0" fontId="77" fillId="0" borderId="67" xfId="0" applyFont="1" applyBorder="1" applyAlignment="1">
      <alignment wrapText="1"/>
    </xf>
    <xf numFmtId="0" fontId="77" fillId="0" borderId="11" xfId="0" applyFont="1" applyBorder="1" applyAlignment="1">
      <alignment wrapText="1"/>
    </xf>
    <xf numFmtId="0" fontId="76" fillId="0" borderId="66" xfId="0" applyFont="1" applyBorder="1" applyAlignment="1">
      <alignment wrapText="1"/>
    </xf>
    <xf numFmtId="165" fontId="77" fillId="0" borderId="66" xfId="0" applyNumberFormat="1" applyFont="1" applyBorder="1" applyAlignment="1">
      <alignment wrapText="1"/>
    </xf>
    <xf numFmtId="0" fontId="76" fillId="0" borderId="68" xfId="0" applyFont="1" applyBorder="1" applyAlignment="1">
      <alignment wrapText="1"/>
    </xf>
    <xf numFmtId="165" fontId="77" fillId="0" borderId="68" xfId="0" applyNumberFormat="1" applyFont="1" applyBorder="1" applyAlignment="1">
      <alignment wrapText="1"/>
    </xf>
    <xf numFmtId="0" fontId="76" fillId="0" borderId="65" xfId="0" applyFont="1" applyBorder="1" applyAlignment="1">
      <alignment wrapText="1"/>
    </xf>
    <xf numFmtId="165" fontId="76" fillId="0" borderId="65" xfId="0" applyNumberFormat="1" applyFont="1" applyBorder="1" applyAlignment="1">
      <alignment wrapText="1"/>
    </xf>
    <xf numFmtId="0" fontId="3" fillId="26" borderId="65" xfId="0" applyFont="1" applyFill="1" applyBorder="1" applyAlignment="1">
      <alignment wrapText="1"/>
    </xf>
    <xf numFmtId="0" fontId="77" fillId="26" borderId="65" xfId="0" applyFont="1" applyFill="1" applyBorder="1" applyAlignment="1">
      <alignment wrapText="1"/>
    </xf>
    <xf numFmtId="0" fontId="76" fillId="26" borderId="65" xfId="0" applyFont="1" applyFill="1" applyBorder="1" applyAlignment="1">
      <alignment wrapText="1"/>
    </xf>
    <xf numFmtId="165" fontId="76" fillId="26" borderId="65" xfId="0" applyNumberFormat="1" applyFont="1" applyFill="1" applyBorder="1" applyAlignment="1">
      <alignment wrapText="1"/>
    </xf>
    <xf numFmtId="0" fontId="3" fillId="0" borderId="69" xfId="0" applyFont="1" applyBorder="1" applyAlignment="1">
      <alignment wrapText="1"/>
    </xf>
    <xf numFmtId="0" fontId="77" fillId="0" borderId="69" xfId="0" applyFont="1" applyBorder="1" applyAlignment="1">
      <alignment wrapText="1"/>
    </xf>
    <xf numFmtId="0" fontId="76" fillId="0" borderId="69" xfId="0" applyFont="1" applyBorder="1" applyAlignment="1">
      <alignment wrapText="1"/>
    </xf>
    <xf numFmtId="165" fontId="76" fillId="0" borderId="69" xfId="0" applyNumberFormat="1" applyFont="1" applyBorder="1" applyAlignment="1">
      <alignment wrapText="1"/>
    </xf>
    <xf numFmtId="14" fontId="3" fillId="0" borderId="11" xfId="0" applyNumberFormat="1" applyFont="1" applyFill="1" applyBorder="1" applyAlignment="1">
      <alignment wrapText="1"/>
    </xf>
    <xf numFmtId="0" fontId="51" fillId="0" borderId="11" xfId="0" applyFont="1" applyFill="1" applyBorder="1" applyAlignment="1">
      <alignment wrapText="1"/>
    </xf>
    <xf numFmtId="0" fontId="76" fillId="0" borderId="11" xfId="0" applyFont="1" applyFill="1" applyBorder="1" applyAlignment="1">
      <alignment wrapText="1"/>
    </xf>
    <xf numFmtId="165" fontId="77" fillId="0" borderId="11" xfId="0" applyNumberFormat="1" applyFont="1" applyFill="1" applyBorder="1" applyAlignment="1">
      <alignment wrapText="1"/>
    </xf>
    <xf numFmtId="0" fontId="3" fillId="0" borderId="68" xfId="0" applyFont="1" applyBorder="1" applyAlignment="1">
      <alignment wrapText="1"/>
    </xf>
    <xf numFmtId="0" fontId="77" fillId="0" borderId="70" xfId="0" applyFont="1" applyBorder="1" applyAlignment="1">
      <alignment wrapText="1"/>
    </xf>
    <xf numFmtId="0" fontId="77" fillId="0" borderId="10" xfId="0" applyFont="1" applyBorder="1" applyAlignment="1">
      <alignment wrapText="1"/>
    </xf>
    <xf numFmtId="0" fontId="3" fillId="0" borderId="67" xfId="0" applyFont="1" applyBorder="1" applyAlignment="1">
      <alignment wrapText="1"/>
    </xf>
    <xf numFmtId="0" fontId="76" fillId="0" borderId="11" xfId="0" applyFont="1" applyBorder="1" applyAlignment="1">
      <alignment wrapText="1"/>
    </xf>
    <xf numFmtId="165" fontId="76" fillId="0" borderId="11" xfId="0" applyNumberFormat="1" applyFont="1" applyBorder="1" applyAlignment="1">
      <alignment wrapText="1"/>
    </xf>
    <xf numFmtId="0" fontId="3" fillId="0" borderId="67" xfId="0" applyFont="1" applyFill="1" applyBorder="1" applyAlignment="1">
      <alignment wrapText="1"/>
    </xf>
    <xf numFmtId="165" fontId="76" fillId="0" borderId="11" xfId="0" applyNumberFormat="1" applyFont="1" applyFill="1" applyBorder="1" applyAlignment="1">
      <alignment wrapText="1"/>
    </xf>
    <xf numFmtId="0" fontId="76" fillId="26" borderId="68" xfId="0" applyFont="1" applyFill="1" applyBorder="1" applyAlignment="1">
      <alignment wrapText="1"/>
    </xf>
    <xf numFmtId="165" fontId="77" fillId="26" borderId="68" xfId="0" applyNumberFormat="1" applyFont="1" applyFill="1" applyBorder="1" applyAlignment="1">
      <alignment wrapText="1"/>
    </xf>
    <xf numFmtId="0" fontId="3" fillId="0" borderId="11" xfId="0" applyFont="1" applyBorder="1" applyAlignment="1">
      <alignment wrapText="1"/>
    </xf>
    <xf numFmtId="0" fontId="77" fillId="0" borderId="0" xfId="0" applyFont="1" applyBorder="1" applyAlignment="1">
      <alignment wrapText="1"/>
    </xf>
    <xf numFmtId="0" fontId="78" fillId="0" borderId="65" xfId="0" applyFont="1" applyFill="1" applyBorder="1" applyAlignment="1">
      <alignment wrapText="1"/>
    </xf>
    <xf numFmtId="14" fontId="23" fillId="0" borderId="11" xfId="0" applyNumberFormat="1" applyFont="1" applyBorder="1" applyAlignment="1">
      <alignment wrapText="1"/>
    </xf>
    <xf numFmtId="0" fontId="79" fillId="0" borderId="11" xfId="0" applyFont="1" applyBorder="1" applyAlignment="1">
      <alignment wrapText="1"/>
    </xf>
    <xf numFmtId="165" fontId="79" fillId="0" borderId="11" xfId="0" applyNumberFormat="1" applyFont="1" applyBorder="1" applyAlignment="1">
      <alignment wrapText="1"/>
    </xf>
    <xf numFmtId="14" fontId="23" fillId="0" borderId="17" xfId="0" applyNumberFormat="1" applyFont="1" applyBorder="1" applyAlignment="1">
      <alignment wrapText="1"/>
    </xf>
    <xf numFmtId="0" fontId="78" fillId="0" borderId="69" xfId="0" applyFont="1" applyFill="1" applyBorder="1" applyAlignment="1">
      <alignment wrapText="1"/>
    </xf>
    <xf numFmtId="165" fontId="79" fillId="0" borderId="17" xfId="0" applyNumberFormat="1" applyFont="1" applyBorder="1" applyAlignment="1">
      <alignment wrapText="1"/>
    </xf>
    <xf numFmtId="14" fontId="78" fillId="26" borderId="65" xfId="0" applyNumberFormat="1" applyFont="1" applyFill="1" applyBorder="1" applyAlignment="1">
      <alignment wrapText="1"/>
    </xf>
    <xf numFmtId="0" fontId="78" fillId="0" borderId="11" xfId="0" applyFont="1" applyFill="1" applyBorder="1" applyAlignment="1">
      <alignment wrapText="1"/>
    </xf>
    <xf numFmtId="0" fontId="78" fillId="26" borderId="11" xfId="0" applyFont="1" applyFill="1" applyBorder="1" applyAlignment="1">
      <alignment wrapText="1"/>
    </xf>
    <xf numFmtId="14" fontId="78" fillId="0" borderId="65" xfId="0" applyNumberFormat="1" applyFont="1" applyFill="1" applyBorder="1" applyAlignment="1">
      <alignment wrapText="1"/>
    </xf>
    <xf numFmtId="0" fontId="79" fillId="0" borderId="11" xfId="0" applyFont="1" applyFill="1" applyBorder="1" applyAlignment="1">
      <alignment wrapText="1"/>
    </xf>
    <xf numFmtId="165" fontId="79" fillId="0" borderId="11" xfId="0" applyNumberFormat="1" applyFont="1" applyFill="1" applyBorder="1" applyAlignment="1">
      <alignment wrapText="1"/>
    </xf>
    <xf numFmtId="14" fontId="23" fillId="0" borderId="11" xfId="0" applyNumberFormat="1" applyFont="1" applyFill="1" applyBorder="1" applyAlignment="1">
      <alignment wrapText="1"/>
    </xf>
    <xf numFmtId="49" fontId="23" fillId="0" borderId="11" xfId="0" applyNumberFormat="1" applyFont="1" applyFill="1" applyBorder="1" applyAlignment="1">
      <alignment wrapText="1"/>
    </xf>
    <xf numFmtId="0" fontId="76" fillId="0" borderId="11" xfId="0" applyFont="1" applyFill="1" applyBorder="1" applyAlignment="1">
      <alignment horizontal="justify" vertical="top" wrapText="1"/>
    </xf>
    <xf numFmtId="0" fontId="76" fillId="0" borderId="11" xfId="0" applyFont="1" applyFill="1" applyBorder="1" applyAlignment="1">
      <alignment horizontal="center" vertical="top" wrapText="1"/>
    </xf>
    <xf numFmtId="0" fontId="76" fillId="0" borderId="17" xfId="0" applyFont="1" applyFill="1" applyBorder="1" applyAlignment="1">
      <alignment vertical="top" wrapText="1"/>
    </xf>
    <xf numFmtId="49" fontId="23" fillId="0" borderId="11" xfId="0" applyNumberFormat="1" applyFont="1" applyBorder="1" applyAlignment="1">
      <alignment wrapText="1"/>
    </xf>
    <xf numFmtId="0" fontId="76" fillId="0" borderId="11" xfId="0" applyFont="1" applyBorder="1" applyAlignment="1">
      <alignment horizontal="justify" vertical="top" wrapText="1"/>
    </xf>
    <xf numFmtId="0" fontId="76" fillId="0" borderId="11" xfId="0" applyFont="1" applyBorder="1" applyAlignment="1">
      <alignment horizontal="center" vertical="top" wrapText="1"/>
    </xf>
    <xf numFmtId="14" fontId="23" fillId="0" borderId="0" xfId="0" applyNumberFormat="1" applyFont="1" applyBorder="1" applyAlignment="1">
      <alignment wrapText="1"/>
    </xf>
    <xf numFmtId="0" fontId="78" fillId="0" borderId="0" xfId="0" applyFont="1" applyFill="1" applyBorder="1" applyAlignment="1">
      <alignment wrapText="1"/>
    </xf>
    <xf numFmtId="0" fontId="79" fillId="0" borderId="0" xfId="0" applyFont="1" applyBorder="1" applyAlignment="1">
      <alignment wrapText="1"/>
    </xf>
    <xf numFmtId="165" fontId="79" fillId="0" borderId="0" xfId="0" applyNumberFormat="1" applyFont="1" applyBorder="1" applyAlignment="1">
      <alignment wrapText="1"/>
    </xf>
    <xf numFmtId="0" fontId="80" fillId="0" borderId="0" xfId="0" applyFont="1" applyAlignment="1">
      <alignment/>
    </xf>
    <xf numFmtId="0" fontId="81" fillId="0" borderId="0" xfId="0" applyFont="1" applyBorder="1" applyAlignment="1">
      <alignment wrapText="1"/>
    </xf>
    <xf numFmtId="165" fontId="0" fillId="0" borderId="0" xfId="0" applyNumberFormat="1" applyAlignment="1">
      <alignment horizontal="right"/>
    </xf>
    <xf numFmtId="0" fontId="82" fillId="0" borderId="11" xfId="0" applyFont="1" applyFill="1" applyBorder="1" applyAlignment="1">
      <alignment wrapText="1"/>
    </xf>
    <xf numFmtId="14" fontId="22" fillId="0" borderId="17" xfId="0" applyNumberFormat="1" applyFont="1" applyBorder="1" applyAlignment="1">
      <alignment wrapText="1"/>
    </xf>
    <xf numFmtId="0" fontId="83" fillId="0" borderId="10" xfId="0" applyFont="1" applyBorder="1" applyAlignment="1">
      <alignment wrapText="1"/>
    </xf>
    <xf numFmtId="0" fontId="83" fillId="0" borderId="70" xfId="0" applyFont="1" applyBorder="1" applyAlignment="1">
      <alignment wrapText="1"/>
    </xf>
    <xf numFmtId="0" fontId="26" fillId="0" borderId="65" xfId="0" applyFont="1" applyBorder="1" applyAlignment="1">
      <alignment wrapText="1"/>
    </xf>
    <xf numFmtId="0" fontId="26" fillId="0" borderId="68" xfId="0" applyFont="1" applyBorder="1" applyAlignment="1">
      <alignment wrapText="1"/>
    </xf>
    <xf numFmtId="0" fontId="83" fillId="0" borderId="11" xfId="0" applyFont="1" applyBorder="1" applyAlignment="1">
      <alignment wrapText="1"/>
    </xf>
    <xf numFmtId="0" fontId="83" fillId="0" borderId="67" xfId="0" applyFont="1" applyBorder="1" applyAlignment="1">
      <alignment wrapText="1"/>
    </xf>
    <xf numFmtId="0" fontId="62" fillId="0" borderId="0" xfId="0" applyFont="1" applyAlignment="1">
      <alignment/>
    </xf>
    <xf numFmtId="165" fontId="6" fillId="0" borderId="0" xfId="0" applyNumberFormat="1" applyFont="1" applyAlignment="1">
      <alignment horizontal="right"/>
    </xf>
    <xf numFmtId="0" fontId="6" fillId="0" borderId="0" xfId="0" applyFont="1" applyAlignment="1">
      <alignment horizontal="right"/>
    </xf>
    <xf numFmtId="165" fontId="6" fillId="0" borderId="0" xfId="0" applyNumberFormat="1" applyFont="1" applyAlignment="1">
      <alignment horizontal="right" vertical="center"/>
    </xf>
    <xf numFmtId="0" fontId="6" fillId="0" borderId="0" xfId="0" applyFont="1" applyAlignment="1">
      <alignment horizontal="right"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173" fontId="6" fillId="0" borderId="11" xfId="0" applyNumberFormat="1" applyFont="1" applyBorder="1" applyAlignment="1">
      <alignment horizontal="center"/>
    </xf>
    <xf numFmtId="173" fontId="6" fillId="26" borderId="11" xfId="0" applyNumberFormat="1" applyFont="1" applyFill="1" applyBorder="1" applyAlignment="1">
      <alignment horizontal="center"/>
    </xf>
    <xf numFmtId="0" fontId="13" fillId="0" borderId="0" xfId="0" applyFont="1" applyAlignment="1">
      <alignment horizontal="right"/>
    </xf>
    <xf numFmtId="173" fontId="6" fillId="0" borderId="0" xfId="0" applyNumberFormat="1" applyFont="1" applyBorder="1" applyAlignment="1">
      <alignment horizontal="center"/>
    </xf>
    <xf numFmtId="0" fontId="4" fillId="0" borderId="1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1" xfId="0" applyFont="1" applyFill="1" applyBorder="1" applyAlignment="1">
      <alignment horizontal="center" wrapText="1"/>
    </xf>
    <xf numFmtId="0" fontId="9" fillId="26" borderId="11" xfId="0" applyFont="1" applyFill="1" applyBorder="1" applyAlignment="1">
      <alignment horizontal="center" wrapText="1"/>
    </xf>
    <xf numFmtId="0" fontId="4" fillId="26"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xf>
    <xf numFmtId="0" fontId="2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left"/>
    </xf>
    <xf numFmtId="0" fontId="21" fillId="0" borderId="0" xfId="0" applyFont="1" applyBorder="1" applyAlignment="1">
      <alignment horizontal="center"/>
    </xf>
    <xf numFmtId="0" fontId="9" fillId="0" borderId="11" xfId="0" applyFont="1" applyFill="1" applyBorder="1" applyAlignment="1">
      <alignment horizontal="center" wrapText="1"/>
    </xf>
    <xf numFmtId="0" fontId="21" fillId="24" borderId="11" xfId="0" applyFont="1" applyFill="1" applyBorder="1" applyAlignment="1">
      <alignment horizontal="center" vertical="top" wrapText="1"/>
    </xf>
    <xf numFmtId="0" fontId="10" fillId="0" borderId="0" xfId="0" applyFont="1" applyAlignment="1">
      <alignment horizontal="center"/>
    </xf>
    <xf numFmtId="0" fontId="9" fillId="0" borderId="0" xfId="0" applyFont="1" applyBorder="1" applyAlignment="1">
      <alignment horizontal="center"/>
    </xf>
    <xf numFmtId="0" fontId="26" fillId="0" borderId="0" xfId="0" applyFont="1" applyBorder="1" applyAlignment="1">
      <alignment horizontal="center"/>
    </xf>
    <xf numFmtId="0" fontId="48" fillId="0" borderId="0" xfId="0" applyFont="1" applyFill="1" applyAlignment="1">
      <alignment horizontal="center"/>
    </xf>
    <xf numFmtId="0" fontId="26" fillId="0" borderId="0" xfId="0" applyFont="1" applyFill="1" applyBorder="1" applyAlignment="1">
      <alignment horizontal="center"/>
    </xf>
    <xf numFmtId="0" fontId="26" fillId="0" borderId="71" xfId="0" applyFont="1" applyFill="1" applyBorder="1" applyAlignment="1">
      <alignment horizontal="center" vertical="top" wrapText="1"/>
    </xf>
    <xf numFmtId="0" fontId="26" fillId="0" borderId="61" xfId="0" applyFont="1" applyFill="1" applyBorder="1" applyAlignment="1">
      <alignment horizontal="center" vertical="top" wrapText="1"/>
    </xf>
    <xf numFmtId="0" fontId="26" fillId="0" borderId="72" xfId="0" applyFont="1" applyFill="1" applyBorder="1" applyAlignment="1">
      <alignment horizontal="center" vertical="top" wrapText="1"/>
    </xf>
    <xf numFmtId="0" fontId="13" fillId="0" borderId="55" xfId="0" applyFont="1" applyFill="1" applyBorder="1" applyAlignment="1">
      <alignment horizontal="center" vertical="top" wrapText="1"/>
    </xf>
    <xf numFmtId="0" fontId="13" fillId="0" borderId="43" xfId="0" applyFont="1" applyFill="1" applyBorder="1" applyAlignment="1">
      <alignment horizontal="center" vertical="top" wrapText="1"/>
    </xf>
    <xf numFmtId="0" fontId="13" fillId="0" borderId="73" xfId="0" applyFont="1" applyFill="1" applyBorder="1" applyAlignment="1">
      <alignment horizontal="center" vertical="top" wrapText="1"/>
    </xf>
    <xf numFmtId="0" fontId="13" fillId="0" borderId="71" xfId="0" applyFont="1" applyFill="1" applyBorder="1" applyAlignment="1">
      <alignment horizontal="center" vertical="top" wrapText="1"/>
    </xf>
    <xf numFmtId="0" fontId="13" fillId="0" borderId="61" xfId="0" applyFont="1" applyFill="1" applyBorder="1" applyAlignment="1">
      <alignment horizontal="center" vertical="top" wrapText="1"/>
    </xf>
    <xf numFmtId="0" fontId="13" fillId="0" borderId="72" xfId="0" applyFont="1" applyFill="1" applyBorder="1" applyAlignment="1">
      <alignment horizontal="center" vertical="top" wrapText="1"/>
    </xf>
    <xf numFmtId="0" fontId="13" fillId="0" borderId="5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74"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42" xfId="0" applyFont="1" applyFill="1" applyBorder="1" applyAlignment="1">
      <alignment horizontal="center" vertical="top" wrapText="1"/>
    </xf>
    <xf numFmtId="0" fontId="13" fillId="0" borderId="22" xfId="0" applyFont="1" applyFill="1" applyBorder="1" applyAlignment="1">
      <alignment horizontal="center" vertical="top" wrapText="1"/>
    </xf>
    <xf numFmtId="0" fontId="49" fillId="0" borderId="10" xfId="0" applyFont="1" applyFill="1" applyBorder="1" applyAlignment="1">
      <alignment horizontal="center" vertical="top" wrapText="1"/>
    </xf>
    <xf numFmtId="0" fontId="13" fillId="26" borderId="64" xfId="0" applyFont="1" applyFill="1" applyBorder="1" applyAlignment="1">
      <alignment horizontal="center" vertical="top" wrapText="1"/>
    </xf>
    <xf numFmtId="0" fontId="13" fillId="26" borderId="0" xfId="0" applyFont="1" applyFill="1" applyBorder="1" applyAlignment="1">
      <alignment horizontal="center" vertical="top" wrapText="1"/>
    </xf>
    <xf numFmtId="0" fontId="13" fillId="26" borderId="75" xfId="0" applyFont="1" applyFill="1" applyBorder="1" applyAlignment="1">
      <alignment horizontal="center" vertical="top" wrapText="1"/>
    </xf>
    <xf numFmtId="0" fontId="13" fillId="0" borderId="46" xfId="0" applyFont="1" applyFill="1" applyBorder="1" applyAlignment="1">
      <alignment horizontal="center" vertical="top" wrapText="1"/>
    </xf>
    <xf numFmtId="0" fontId="13" fillId="0" borderId="16" xfId="0" applyFont="1" applyFill="1" applyBorder="1" applyAlignment="1">
      <alignment horizontal="center" vertical="top" wrapText="1"/>
    </xf>
    <xf numFmtId="0" fontId="6" fillId="26" borderId="58" xfId="0" applyFont="1" applyFill="1" applyBorder="1" applyAlignment="1">
      <alignment horizontal="center"/>
    </xf>
    <xf numFmtId="0" fontId="6" fillId="26" borderId="60" xfId="0" applyFont="1" applyFill="1" applyBorder="1" applyAlignment="1">
      <alignment horizontal="center"/>
    </xf>
    <xf numFmtId="0" fontId="6" fillId="26" borderId="62" xfId="0" applyFont="1" applyFill="1" applyBorder="1" applyAlignment="1">
      <alignment horizontal="center"/>
    </xf>
    <xf numFmtId="0" fontId="6" fillId="26" borderId="17" xfId="0" applyFont="1" applyFill="1" applyBorder="1" applyAlignment="1">
      <alignment horizontal="left" vertical="top" wrapText="1"/>
    </xf>
    <xf numFmtId="0" fontId="6" fillId="26" borderId="10" xfId="0" applyFont="1" applyFill="1" applyBorder="1" applyAlignment="1">
      <alignment horizontal="left" vertical="top" wrapText="1"/>
    </xf>
    <xf numFmtId="0" fontId="13" fillId="0" borderId="76"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46" xfId="0" applyFont="1" applyFill="1" applyBorder="1" applyAlignment="1">
      <alignment horizontal="center"/>
    </xf>
    <xf numFmtId="0" fontId="13" fillId="0" borderId="0" xfId="0" applyFont="1" applyFill="1" applyBorder="1" applyAlignment="1">
      <alignment horizontal="center"/>
    </xf>
    <xf numFmtId="0" fontId="13" fillId="0" borderId="16" xfId="0" applyFont="1" applyFill="1" applyBorder="1" applyAlignment="1">
      <alignment horizontal="center"/>
    </xf>
    <xf numFmtId="0" fontId="12" fillId="0" borderId="46"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3" fillId="0" borderId="64" xfId="0" applyFont="1" applyFill="1" applyBorder="1" applyAlignment="1">
      <alignment horizontal="center" vertical="top" wrapText="1"/>
    </xf>
    <xf numFmtId="0" fontId="13" fillId="0" borderId="75" xfId="0" applyFont="1" applyFill="1" applyBorder="1" applyAlignment="1">
      <alignment horizontal="center" vertical="top" wrapText="1"/>
    </xf>
    <xf numFmtId="0" fontId="13" fillId="0" borderId="77"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78"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4" xfId="0" applyFont="1" applyFill="1" applyBorder="1" applyAlignment="1">
      <alignment horizontal="center" vertical="top" wrapText="1"/>
    </xf>
    <xf numFmtId="167" fontId="9" fillId="24" borderId="11" xfId="0" applyNumberFormat="1" applyFont="1" applyFill="1" applyBorder="1" applyAlignment="1">
      <alignment horizontal="center" vertical="top" wrapText="1"/>
    </xf>
    <xf numFmtId="167" fontId="1" fillId="24" borderId="11" xfId="0" applyNumberFormat="1" applyFont="1" applyFill="1" applyBorder="1" applyAlignment="1">
      <alignment horizontal="center" vertical="top" wrapText="1"/>
    </xf>
    <xf numFmtId="167" fontId="1" fillId="24" borderId="11" xfId="0" applyNumberFormat="1" applyFont="1" applyFill="1" applyBorder="1" applyAlignment="1">
      <alignment horizontal="center" vertical="top" wrapText="1"/>
    </xf>
    <xf numFmtId="167" fontId="1" fillId="26" borderId="11" xfId="0" applyNumberFormat="1" applyFont="1" applyFill="1" applyBorder="1" applyAlignment="1">
      <alignment horizontal="center" vertical="center" wrapText="1"/>
    </xf>
    <xf numFmtId="167" fontId="1" fillId="26" borderId="11" xfId="0" applyNumberFormat="1" applyFont="1" applyFill="1" applyBorder="1" applyAlignment="1">
      <alignment horizontal="center" vertical="top" wrapText="1"/>
    </xf>
    <xf numFmtId="167" fontId="13" fillId="26" borderId="11" xfId="0" applyNumberFormat="1" applyFont="1" applyFill="1" applyBorder="1" applyAlignment="1">
      <alignment horizontal="center" vertical="top" wrapText="1"/>
    </xf>
    <xf numFmtId="0" fontId="1" fillId="26" borderId="11" xfId="0" applyFont="1" applyFill="1" applyBorder="1" applyAlignment="1">
      <alignment horizontal="center" vertical="top" wrapText="1"/>
    </xf>
    <xf numFmtId="0" fontId="9" fillId="0" borderId="0" xfId="0" applyFont="1" applyBorder="1" applyAlignment="1">
      <alignment horizontal="center"/>
    </xf>
    <xf numFmtId="0" fontId="9" fillId="0" borderId="11" xfId="0" applyFont="1" applyFill="1" applyBorder="1" applyAlignment="1">
      <alignment horizontal="center" vertical="top" wrapText="1"/>
    </xf>
    <xf numFmtId="0" fontId="1" fillId="24" borderId="71" xfId="0" applyFont="1" applyFill="1" applyBorder="1" applyAlignment="1">
      <alignment horizontal="center" vertical="top" wrapText="1"/>
    </xf>
    <xf numFmtId="0" fontId="1" fillId="24" borderId="61" xfId="0" applyFont="1" applyFill="1" applyBorder="1" applyAlignment="1">
      <alignment horizontal="center" vertical="top" wrapText="1"/>
    </xf>
    <xf numFmtId="0" fontId="1" fillId="24" borderId="72" xfId="0" applyFont="1" applyFill="1" applyBorder="1" applyAlignment="1">
      <alignment horizontal="center" vertical="top" wrapText="1"/>
    </xf>
    <xf numFmtId="0" fontId="20" fillId="24" borderId="71" xfId="0" applyFont="1" applyFill="1" applyBorder="1" applyAlignment="1">
      <alignment horizontal="center" vertical="top" wrapText="1"/>
    </xf>
    <xf numFmtId="0" fontId="20" fillId="24" borderId="61" xfId="0" applyFont="1" applyFill="1" applyBorder="1" applyAlignment="1">
      <alignment horizontal="center" vertical="top" wrapText="1"/>
    </xf>
    <xf numFmtId="0" fontId="20" fillId="24" borderId="72" xfId="0" applyFont="1" applyFill="1" applyBorder="1" applyAlignment="1">
      <alignment horizontal="center" vertical="top" wrapText="1"/>
    </xf>
    <xf numFmtId="0" fontId="1" fillId="24" borderId="46" xfId="0" applyFont="1" applyFill="1" applyBorder="1" applyAlignment="1">
      <alignment horizontal="center" vertical="top" wrapText="1"/>
    </xf>
    <xf numFmtId="0" fontId="1" fillId="24" borderId="15" xfId="0" applyFont="1" applyFill="1" applyBorder="1" applyAlignment="1">
      <alignment horizontal="center" vertical="top" wrapText="1"/>
    </xf>
    <xf numFmtId="0" fontId="1" fillId="24" borderId="16" xfId="0" applyFont="1" applyFill="1" applyBorder="1" applyAlignment="1">
      <alignment horizontal="center" vertical="top" wrapText="1"/>
    </xf>
    <xf numFmtId="0" fontId="26" fillId="0" borderId="11" xfId="0" applyFont="1" applyBorder="1" applyAlignment="1">
      <alignment horizontal="center" vertical="top" wrapText="1"/>
    </xf>
    <xf numFmtId="0" fontId="13" fillId="0" borderId="11" xfId="0" applyFont="1" applyBorder="1" applyAlignment="1">
      <alignment horizontal="center" vertical="top" wrapText="1"/>
    </xf>
    <xf numFmtId="0" fontId="13" fillId="26" borderId="11" xfId="0" applyFont="1" applyFill="1" applyBorder="1" applyAlignment="1">
      <alignment horizontal="center" vertical="top" wrapText="1"/>
    </xf>
    <xf numFmtId="0" fontId="13" fillId="0" borderId="57" xfId="0" applyFont="1" applyBorder="1" applyAlignment="1">
      <alignment horizontal="center" vertical="top" wrapText="1"/>
    </xf>
    <xf numFmtId="0" fontId="13" fillId="0" borderId="49" xfId="0" applyFont="1" applyBorder="1" applyAlignment="1">
      <alignment horizontal="center" vertical="top" wrapText="1"/>
    </xf>
    <xf numFmtId="0" fontId="13" fillId="0" borderId="23" xfId="0" applyFont="1" applyBorder="1" applyAlignment="1">
      <alignment horizontal="center" vertical="top" wrapText="1"/>
    </xf>
    <xf numFmtId="0" fontId="10" fillId="26" borderId="0" xfId="0" applyFont="1" applyFill="1" applyAlignment="1">
      <alignment horizontal="center"/>
    </xf>
    <xf numFmtId="0" fontId="9" fillId="26" borderId="11" xfId="0" applyFont="1" applyFill="1" applyBorder="1" applyAlignment="1">
      <alignment horizontal="center" vertical="top" wrapText="1"/>
    </xf>
    <xf numFmtId="0" fontId="26" fillId="26" borderId="0" xfId="0" applyFont="1" applyFill="1" applyBorder="1" applyAlignment="1">
      <alignment horizontal="center"/>
    </xf>
    <xf numFmtId="0" fontId="9" fillId="26" borderId="0" xfId="0" applyFont="1" applyFill="1" applyBorder="1" applyAlignment="1">
      <alignment horizontal="center"/>
    </xf>
    <xf numFmtId="0" fontId="1" fillId="26" borderId="57" xfId="0" applyFont="1" applyFill="1" applyBorder="1" applyAlignment="1">
      <alignment horizontal="center" vertical="top" wrapText="1"/>
    </xf>
    <xf numFmtId="0" fontId="1" fillId="26" borderId="49" xfId="0" applyFont="1" applyFill="1" applyBorder="1" applyAlignment="1">
      <alignment horizontal="center" vertical="top" wrapText="1"/>
    </xf>
    <xf numFmtId="0" fontId="1" fillId="26" borderId="23" xfId="0" applyFont="1" applyFill="1" applyBorder="1" applyAlignment="1">
      <alignment horizontal="center" vertical="top" wrapText="1"/>
    </xf>
    <xf numFmtId="166" fontId="0" fillId="0" borderId="0" xfId="0" applyNumberFormat="1" applyAlignment="1">
      <alignment horizontal="right"/>
    </xf>
    <xf numFmtId="0" fontId="2" fillId="0" borderId="0" xfId="0" applyFont="1" applyAlignment="1">
      <alignment horizontal="center" vertical="top" wrapText="1"/>
    </xf>
    <xf numFmtId="17" fontId="9" fillId="24" borderId="30" xfId="0" applyNumberFormat="1" applyFont="1" applyFill="1" applyBorder="1" applyAlignment="1">
      <alignment horizontal="center" vertical="top" wrapText="1"/>
    </xf>
    <xf numFmtId="17" fontId="9" fillId="24" borderId="49" xfId="0" applyNumberFormat="1" applyFont="1" applyFill="1" applyBorder="1" applyAlignment="1">
      <alignment horizontal="center" vertical="top" wrapText="1"/>
    </xf>
    <xf numFmtId="17" fontId="9" fillId="24" borderId="79" xfId="0" applyNumberFormat="1" applyFont="1" applyFill="1" applyBorder="1" applyAlignment="1">
      <alignment horizontal="center" vertical="top" wrapText="1"/>
    </xf>
    <xf numFmtId="0" fontId="9" fillId="24" borderId="30" xfId="0" applyFont="1" applyFill="1" applyBorder="1" applyAlignment="1">
      <alignment horizontal="center" vertical="top" wrapText="1"/>
    </xf>
    <xf numFmtId="0" fontId="9" fillId="24" borderId="49" xfId="0" applyFont="1" applyFill="1" applyBorder="1" applyAlignment="1">
      <alignment horizontal="center" vertical="top" wrapText="1"/>
    </xf>
    <xf numFmtId="0" fontId="9" fillId="24" borderId="79" xfId="0" applyFont="1" applyFill="1" applyBorder="1" applyAlignment="1">
      <alignment horizontal="center" vertical="top" wrapText="1"/>
    </xf>
    <xf numFmtId="0" fontId="9" fillId="24" borderId="15" xfId="0" applyFont="1" applyFill="1" applyBorder="1" applyAlignment="1">
      <alignment horizontal="center" vertical="top" wrapText="1"/>
    </xf>
    <xf numFmtId="0" fontId="9" fillId="24" borderId="16" xfId="0" applyFont="1" applyFill="1" applyBorder="1" applyAlignment="1">
      <alignment horizontal="center" vertical="top" wrapText="1"/>
    </xf>
    <xf numFmtId="0" fontId="9" fillId="24" borderId="43" xfId="0" applyFont="1" applyFill="1" applyBorder="1" applyAlignment="1">
      <alignment horizontal="center" vertical="top" wrapText="1"/>
    </xf>
    <xf numFmtId="0" fontId="9" fillId="24" borderId="0" xfId="0" applyFont="1" applyFill="1" applyBorder="1" applyAlignment="1">
      <alignment horizontal="center" vertical="top" wrapText="1"/>
    </xf>
    <xf numFmtId="0" fontId="9" fillId="24" borderId="74" xfId="0" applyFont="1" applyFill="1" applyBorder="1" applyAlignment="1">
      <alignment horizontal="center" vertical="top" wrapText="1"/>
    </xf>
    <xf numFmtId="0" fontId="9" fillId="0" borderId="12" xfId="0" applyFont="1" applyFill="1" applyBorder="1" applyAlignment="1">
      <alignment horizontal="center" wrapText="1"/>
    </xf>
    <xf numFmtId="0" fontId="9" fillId="0" borderId="19" xfId="0" applyFont="1" applyFill="1" applyBorder="1" applyAlignment="1">
      <alignment horizontal="center" wrapText="1"/>
    </xf>
    <xf numFmtId="0" fontId="9" fillId="0" borderId="0" xfId="0" applyFont="1" applyFill="1" applyBorder="1" applyAlignment="1">
      <alignment horizontal="center" wrapText="1"/>
    </xf>
    <xf numFmtId="0" fontId="9" fillId="0" borderId="74" xfId="0" applyFont="1" applyFill="1" applyBorder="1" applyAlignment="1">
      <alignment horizontal="center" wrapText="1"/>
    </xf>
    <xf numFmtId="0" fontId="1" fillId="24" borderId="64" xfId="0" applyFont="1" applyFill="1" applyBorder="1" applyAlignment="1">
      <alignment horizontal="center" vertical="top" wrapText="1"/>
    </xf>
    <xf numFmtId="0" fontId="1" fillId="24" borderId="15" xfId="0" applyFont="1" applyFill="1" applyBorder="1" applyAlignment="1">
      <alignment horizontal="center" vertical="top" wrapText="1"/>
    </xf>
    <xf numFmtId="0" fontId="1" fillId="24" borderId="16" xfId="0" applyFont="1" applyFill="1" applyBorder="1" applyAlignment="1">
      <alignment horizontal="center" vertical="top" wrapText="1"/>
    </xf>
    <xf numFmtId="0" fontId="9" fillId="24" borderId="71" xfId="0" applyFont="1" applyFill="1" applyBorder="1" applyAlignment="1">
      <alignment horizontal="center" vertical="top" wrapText="1"/>
    </xf>
    <xf numFmtId="0" fontId="9" fillId="24" borderId="61" xfId="0" applyFont="1" applyFill="1" applyBorder="1" applyAlignment="1">
      <alignment horizontal="center" vertical="top" wrapText="1"/>
    </xf>
    <xf numFmtId="0" fontId="9" fillId="24" borderId="72" xfId="0" applyFont="1" applyFill="1" applyBorder="1" applyAlignment="1">
      <alignment horizontal="center" vertical="top" wrapText="1"/>
    </xf>
    <xf numFmtId="0" fontId="1" fillId="24" borderId="46" xfId="0" applyFont="1" applyFill="1" applyBorder="1" applyAlignment="1">
      <alignment horizontal="center" vertical="top" wrapText="1"/>
    </xf>
    <xf numFmtId="0" fontId="9" fillId="24" borderId="46" xfId="0" applyFont="1" applyFill="1" applyBorder="1" applyAlignment="1">
      <alignment horizontal="center" vertical="top" wrapText="1"/>
    </xf>
    <xf numFmtId="0" fontId="1" fillId="24" borderId="12" xfId="0" applyFont="1" applyFill="1" applyBorder="1" applyAlignment="1">
      <alignment horizontal="center" vertical="top" wrapText="1"/>
    </xf>
    <xf numFmtId="0" fontId="53" fillId="24" borderId="49" xfId="0" applyFont="1" applyFill="1" applyBorder="1" applyAlignment="1">
      <alignment horizontal="left" vertical="top" wrapText="1"/>
    </xf>
    <xf numFmtId="0" fontId="53" fillId="24" borderId="79" xfId="0" applyFont="1" applyFill="1" applyBorder="1" applyAlignment="1">
      <alignment horizontal="left" vertical="top" wrapText="1"/>
    </xf>
    <xf numFmtId="0" fontId="20" fillId="24" borderId="11" xfId="0" applyFont="1" applyFill="1" applyBorder="1" applyAlignment="1">
      <alignment horizontal="center" vertical="top" wrapText="1"/>
    </xf>
    <xf numFmtId="0" fontId="1" fillId="0" borderId="0" xfId="0" applyFont="1" applyFill="1" applyBorder="1" applyAlignment="1">
      <alignment horizontal="center"/>
    </xf>
    <xf numFmtId="0" fontId="17" fillId="0" borderId="57" xfId="0" applyFont="1" applyFill="1" applyBorder="1" applyAlignment="1">
      <alignment horizontal="center" vertical="top" wrapText="1"/>
    </xf>
    <xf numFmtId="0" fontId="17" fillId="0" borderId="49" xfId="0" applyFont="1" applyFill="1" applyBorder="1" applyAlignment="1">
      <alignment horizontal="center" vertical="top" wrapText="1"/>
    </xf>
    <xf numFmtId="0" fontId="17" fillId="0" borderId="23" xfId="0" applyFont="1" applyFill="1" applyBorder="1" applyAlignment="1">
      <alignment horizontal="center" vertical="top" wrapText="1"/>
    </xf>
    <xf numFmtId="0" fontId="84" fillId="26" borderId="0" xfId="0" applyFont="1" applyFill="1" applyAlignment="1">
      <alignment horizontal="left" wrapText="1"/>
    </xf>
    <xf numFmtId="165" fontId="79" fillId="0" borderId="0" xfId="0" applyNumberFormat="1" applyFont="1" applyBorder="1" applyAlignment="1">
      <alignment horizontal="center" wrapText="1"/>
    </xf>
    <xf numFmtId="0" fontId="51" fillId="0" borderId="0" xfId="0" applyFont="1" applyAlignment="1">
      <alignment horizontal="right"/>
    </xf>
    <xf numFmtId="0" fontId="9" fillId="0" borderId="0" xfId="0" applyFont="1" applyAlignment="1">
      <alignment horizontal="center" wrapText="1"/>
    </xf>
    <xf numFmtId="0" fontId="77" fillId="0" borderId="67" xfId="0" applyFont="1" applyBorder="1" applyAlignment="1">
      <alignment wrapText="1"/>
    </xf>
    <xf numFmtId="0" fontId="77" fillId="0" borderId="80" xfId="0" applyFont="1" applyBorder="1" applyAlignment="1">
      <alignment wrapText="1"/>
    </xf>
    <xf numFmtId="0" fontId="77" fillId="0" borderId="81" xfId="0" applyFont="1" applyBorder="1" applyAlignment="1">
      <alignment wrapText="1"/>
    </xf>
    <xf numFmtId="0" fontId="78" fillId="0" borderId="11" xfId="0" applyFont="1" applyFill="1" applyBorder="1" applyAlignment="1">
      <alignment horizontal="left" wrapText="1"/>
    </xf>
    <xf numFmtId="0" fontId="85" fillId="26" borderId="0" xfId="0" applyFont="1" applyFill="1" applyAlignment="1">
      <alignment horizontal="left" wrapText="1"/>
    </xf>
    <xf numFmtId="14" fontId="23" fillId="0" borderId="0" xfId="0" applyNumberFormat="1" applyFont="1" applyBorder="1" applyAlignment="1">
      <alignment horizontal="center" wrapText="1"/>
    </xf>
    <xf numFmtId="0" fontId="82" fillId="0" borderId="0" xfId="0" applyFont="1" applyFill="1" applyBorder="1" applyAlignment="1">
      <alignment horizontal="left" wrapText="1"/>
    </xf>
    <xf numFmtId="165" fontId="81" fillId="0" borderId="0" xfId="0" applyNumberFormat="1" applyFont="1" applyBorder="1" applyAlignment="1">
      <alignment horizontal="center" wrapText="1"/>
    </xf>
    <xf numFmtId="0" fontId="83" fillId="0" borderId="67" xfId="0" applyFont="1" applyBorder="1" applyAlignment="1">
      <alignment wrapText="1"/>
    </xf>
    <xf numFmtId="0" fontId="83" fillId="0" borderId="80" xfId="0" applyFont="1" applyBorder="1" applyAlignment="1">
      <alignment wrapText="1"/>
    </xf>
    <xf numFmtId="0" fontId="83" fillId="0" borderId="81" xfId="0" applyFont="1" applyBorder="1" applyAlignment="1">
      <alignment wrapText="1"/>
    </xf>
    <xf numFmtId="0" fontId="86" fillId="26"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0</xdr:rowOff>
    </xdr:from>
    <xdr:to>
      <xdr:col>5</xdr:col>
      <xdr:colOff>0</xdr:colOff>
      <xdr:row>16</xdr:row>
      <xdr:rowOff>0</xdr:rowOff>
    </xdr:to>
    <xdr:sp>
      <xdr:nvSpPr>
        <xdr:cNvPr id="1" name="Line 42"/>
        <xdr:cNvSpPr>
          <a:spLocks/>
        </xdr:cNvSpPr>
      </xdr:nvSpPr>
      <xdr:spPr>
        <a:xfrm flipH="1">
          <a:off x="4314825" y="348615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161925</xdr:rowOff>
    </xdr:from>
    <xdr:to>
      <xdr:col>3</xdr:col>
      <xdr:colOff>0</xdr:colOff>
      <xdr:row>17</xdr:row>
      <xdr:rowOff>161925</xdr:rowOff>
    </xdr:to>
    <xdr:sp>
      <xdr:nvSpPr>
        <xdr:cNvPr id="1" name="Line 1"/>
        <xdr:cNvSpPr>
          <a:spLocks/>
        </xdr:cNvSpPr>
      </xdr:nvSpPr>
      <xdr:spPr>
        <a:xfrm>
          <a:off x="0" y="3495675"/>
          <a:ext cx="54578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161925</xdr:rowOff>
    </xdr:from>
    <xdr:to>
      <xdr:col>3</xdr:col>
      <xdr:colOff>0</xdr:colOff>
      <xdr:row>17</xdr:row>
      <xdr:rowOff>161925</xdr:rowOff>
    </xdr:to>
    <xdr:sp>
      <xdr:nvSpPr>
        <xdr:cNvPr id="2" name="Line 1"/>
        <xdr:cNvSpPr>
          <a:spLocks/>
        </xdr:cNvSpPr>
      </xdr:nvSpPr>
      <xdr:spPr>
        <a:xfrm>
          <a:off x="0" y="3495675"/>
          <a:ext cx="54578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8</xdr:col>
      <xdr:colOff>9525</xdr:colOff>
      <xdr:row>12</xdr:row>
      <xdr:rowOff>0</xdr:rowOff>
    </xdr:to>
    <xdr:sp>
      <xdr:nvSpPr>
        <xdr:cNvPr id="1" name="Line 1"/>
        <xdr:cNvSpPr>
          <a:spLocks/>
        </xdr:cNvSpPr>
      </xdr:nvSpPr>
      <xdr:spPr>
        <a:xfrm>
          <a:off x="9525" y="2219325"/>
          <a:ext cx="48577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2" name="Line 2"/>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12</xdr:row>
      <xdr:rowOff>0</xdr:rowOff>
    </xdr:from>
    <xdr:to>
      <xdr:col>5</xdr:col>
      <xdr:colOff>0</xdr:colOff>
      <xdr:row>12</xdr:row>
      <xdr:rowOff>0</xdr:rowOff>
    </xdr:to>
    <xdr:sp>
      <xdr:nvSpPr>
        <xdr:cNvPr id="3" name="Line 3"/>
        <xdr:cNvSpPr>
          <a:spLocks/>
        </xdr:cNvSpPr>
      </xdr:nvSpPr>
      <xdr:spPr>
        <a:xfrm>
          <a:off x="4857750" y="22193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12</xdr:row>
      <xdr:rowOff>0</xdr:rowOff>
    </xdr:from>
    <xdr:to>
      <xdr:col>5</xdr:col>
      <xdr:colOff>0</xdr:colOff>
      <xdr:row>12</xdr:row>
      <xdr:rowOff>0</xdr:rowOff>
    </xdr:to>
    <xdr:sp>
      <xdr:nvSpPr>
        <xdr:cNvPr id="4" name="Line 4"/>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12</xdr:row>
      <xdr:rowOff>0</xdr:rowOff>
    </xdr:from>
    <xdr:to>
      <xdr:col>4</xdr:col>
      <xdr:colOff>0</xdr:colOff>
      <xdr:row>12</xdr:row>
      <xdr:rowOff>0</xdr:rowOff>
    </xdr:to>
    <xdr:sp>
      <xdr:nvSpPr>
        <xdr:cNvPr id="5" name="Line 5"/>
        <xdr:cNvSpPr>
          <a:spLocks/>
        </xdr:cNvSpPr>
      </xdr:nvSpPr>
      <xdr:spPr>
        <a:xfrm>
          <a:off x="4857750" y="221932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12</xdr:row>
      <xdr:rowOff>0</xdr:rowOff>
    </xdr:from>
    <xdr:to>
      <xdr:col>4</xdr:col>
      <xdr:colOff>0</xdr:colOff>
      <xdr:row>12</xdr:row>
      <xdr:rowOff>0</xdr:rowOff>
    </xdr:to>
    <xdr:sp>
      <xdr:nvSpPr>
        <xdr:cNvPr id="6" name="Line 6"/>
        <xdr:cNvSpPr>
          <a:spLocks/>
        </xdr:cNvSpPr>
      </xdr:nvSpPr>
      <xdr:spPr>
        <a:xfrm>
          <a:off x="4857750" y="22193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12</xdr:row>
      <xdr:rowOff>0</xdr:rowOff>
    </xdr:from>
    <xdr:to>
      <xdr:col>5</xdr:col>
      <xdr:colOff>0</xdr:colOff>
      <xdr:row>12</xdr:row>
      <xdr:rowOff>0</xdr:rowOff>
    </xdr:to>
    <xdr:sp>
      <xdr:nvSpPr>
        <xdr:cNvPr id="7" name="Line 7"/>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12</xdr:row>
      <xdr:rowOff>0</xdr:rowOff>
    </xdr:from>
    <xdr:to>
      <xdr:col>5</xdr:col>
      <xdr:colOff>0</xdr:colOff>
      <xdr:row>12</xdr:row>
      <xdr:rowOff>0</xdr:rowOff>
    </xdr:to>
    <xdr:sp>
      <xdr:nvSpPr>
        <xdr:cNvPr id="8" name="Line 8"/>
        <xdr:cNvSpPr>
          <a:spLocks/>
        </xdr:cNvSpPr>
      </xdr:nvSpPr>
      <xdr:spPr>
        <a:xfrm>
          <a:off x="4857750" y="22193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69</xdr:row>
      <xdr:rowOff>0</xdr:rowOff>
    </xdr:from>
    <xdr:to>
      <xdr:col>5</xdr:col>
      <xdr:colOff>0</xdr:colOff>
      <xdr:row>69</xdr:row>
      <xdr:rowOff>0</xdr:rowOff>
    </xdr:to>
    <xdr:sp>
      <xdr:nvSpPr>
        <xdr:cNvPr id="9" name="Line 9"/>
        <xdr:cNvSpPr>
          <a:spLocks/>
        </xdr:cNvSpPr>
      </xdr:nvSpPr>
      <xdr:spPr>
        <a:xfrm>
          <a:off x="800100" y="17097375"/>
          <a:ext cx="40576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85725</xdr:colOff>
      <xdr:row>69</xdr:row>
      <xdr:rowOff>0</xdr:rowOff>
    </xdr:from>
    <xdr:to>
      <xdr:col>5</xdr:col>
      <xdr:colOff>0</xdr:colOff>
      <xdr:row>69</xdr:row>
      <xdr:rowOff>0</xdr:rowOff>
    </xdr:to>
    <xdr:sp>
      <xdr:nvSpPr>
        <xdr:cNvPr id="10" name="Line 10"/>
        <xdr:cNvSpPr>
          <a:spLocks/>
        </xdr:cNvSpPr>
      </xdr:nvSpPr>
      <xdr:spPr>
        <a:xfrm>
          <a:off x="4857750" y="170973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244</xdr:row>
      <xdr:rowOff>0</xdr:rowOff>
    </xdr:from>
    <xdr:to>
      <xdr:col>5</xdr:col>
      <xdr:colOff>0</xdr:colOff>
      <xdr:row>244</xdr:row>
      <xdr:rowOff>0</xdr:rowOff>
    </xdr:to>
    <xdr:sp>
      <xdr:nvSpPr>
        <xdr:cNvPr id="11" name="Line 11"/>
        <xdr:cNvSpPr>
          <a:spLocks/>
        </xdr:cNvSpPr>
      </xdr:nvSpPr>
      <xdr:spPr>
        <a:xfrm>
          <a:off x="4857750" y="5788342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244</xdr:row>
      <xdr:rowOff>0</xdr:rowOff>
    </xdr:from>
    <xdr:to>
      <xdr:col>5</xdr:col>
      <xdr:colOff>0</xdr:colOff>
      <xdr:row>244</xdr:row>
      <xdr:rowOff>0</xdr:rowOff>
    </xdr:to>
    <xdr:sp>
      <xdr:nvSpPr>
        <xdr:cNvPr id="12" name="Line 12"/>
        <xdr:cNvSpPr>
          <a:spLocks/>
        </xdr:cNvSpPr>
      </xdr:nvSpPr>
      <xdr:spPr>
        <a:xfrm>
          <a:off x="4857750" y="5788342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301</xdr:row>
      <xdr:rowOff>0</xdr:rowOff>
    </xdr:from>
    <xdr:to>
      <xdr:col>5</xdr:col>
      <xdr:colOff>0</xdr:colOff>
      <xdr:row>301</xdr:row>
      <xdr:rowOff>0</xdr:rowOff>
    </xdr:to>
    <xdr:sp>
      <xdr:nvSpPr>
        <xdr:cNvPr id="13" name="Line 13"/>
        <xdr:cNvSpPr>
          <a:spLocks/>
        </xdr:cNvSpPr>
      </xdr:nvSpPr>
      <xdr:spPr>
        <a:xfrm>
          <a:off x="0" y="74342625"/>
          <a:ext cx="485775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301</xdr:row>
      <xdr:rowOff>0</xdr:rowOff>
    </xdr:from>
    <xdr:to>
      <xdr:col>5</xdr:col>
      <xdr:colOff>0</xdr:colOff>
      <xdr:row>301</xdr:row>
      <xdr:rowOff>0</xdr:rowOff>
    </xdr:to>
    <xdr:sp>
      <xdr:nvSpPr>
        <xdr:cNvPr id="14" name="Line 14"/>
        <xdr:cNvSpPr>
          <a:spLocks/>
        </xdr:cNvSpPr>
      </xdr:nvSpPr>
      <xdr:spPr>
        <a:xfrm>
          <a:off x="0" y="74342625"/>
          <a:ext cx="485775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476</xdr:row>
      <xdr:rowOff>0</xdr:rowOff>
    </xdr:from>
    <xdr:to>
      <xdr:col>5</xdr:col>
      <xdr:colOff>0</xdr:colOff>
      <xdr:row>476</xdr:row>
      <xdr:rowOff>0</xdr:rowOff>
    </xdr:to>
    <xdr:sp>
      <xdr:nvSpPr>
        <xdr:cNvPr id="15" name="Line 15"/>
        <xdr:cNvSpPr>
          <a:spLocks/>
        </xdr:cNvSpPr>
      </xdr:nvSpPr>
      <xdr:spPr>
        <a:xfrm>
          <a:off x="4857750" y="11297602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476</xdr:row>
      <xdr:rowOff>9525</xdr:rowOff>
    </xdr:from>
    <xdr:to>
      <xdr:col>8</xdr:col>
      <xdr:colOff>0</xdr:colOff>
      <xdr:row>476</xdr:row>
      <xdr:rowOff>9525</xdr:rowOff>
    </xdr:to>
    <xdr:sp>
      <xdr:nvSpPr>
        <xdr:cNvPr id="16" name="Line 16"/>
        <xdr:cNvSpPr>
          <a:spLocks/>
        </xdr:cNvSpPr>
      </xdr:nvSpPr>
      <xdr:spPr>
        <a:xfrm>
          <a:off x="0" y="112985550"/>
          <a:ext cx="4857750" cy="0"/>
        </a:xfrm>
        <a:prstGeom prst="line">
          <a:avLst/>
        </a:prstGeom>
        <a:noFill/>
        <a:ln w="1524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488</xdr:row>
      <xdr:rowOff>0</xdr:rowOff>
    </xdr:from>
    <xdr:to>
      <xdr:col>5</xdr:col>
      <xdr:colOff>0</xdr:colOff>
      <xdr:row>488</xdr:row>
      <xdr:rowOff>0</xdr:rowOff>
    </xdr:to>
    <xdr:sp>
      <xdr:nvSpPr>
        <xdr:cNvPr id="17" name="Line 17"/>
        <xdr:cNvSpPr>
          <a:spLocks/>
        </xdr:cNvSpPr>
      </xdr:nvSpPr>
      <xdr:spPr>
        <a:xfrm>
          <a:off x="0" y="115081050"/>
          <a:ext cx="4857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488</xdr:row>
      <xdr:rowOff>0</xdr:rowOff>
    </xdr:from>
    <xdr:to>
      <xdr:col>5</xdr:col>
      <xdr:colOff>0</xdr:colOff>
      <xdr:row>488</xdr:row>
      <xdr:rowOff>0</xdr:rowOff>
    </xdr:to>
    <xdr:sp>
      <xdr:nvSpPr>
        <xdr:cNvPr id="18" name="Line 18"/>
        <xdr:cNvSpPr>
          <a:spLocks/>
        </xdr:cNvSpPr>
      </xdr:nvSpPr>
      <xdr:spPr>
        <a:xfrm>
          <a:off x="4857750" y="115081050"/>
          <a:ext cx="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647700</xdr:colOff>
      <xdr:row>488</xdr:row>
      <xdr:rowOff>0</xdr:rowOff>
    </xdr:from>
    <xdr:to>
      <xdr:col>5</xdr:col>
      <xdr:colOff>0</xdr:colOff>
      <xdr:row>488</xdr:row>
      <xdr:rowOff>0</xdr:rowOff>
    </xdr:to>
    <xdr:sp>
      <xdr:nvSpPr>
        <xdr:cNvPr id="19" name="Line 19"/>
        <xdr:cNvSpPr>
          <a:spLocks/>
        </xdr:cNvSpPr>
      </xdr:nvSpPr>
      <xdr:spPr>
        <a:xfrm>
          <a:off x="647700" y="115081050"/>
          <a:ext cx="4210050"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488</xdr:row>
      <xdr:rowOff>0</xdr:rowOff>
    </xdr:from>
    <xdr:to>
      <xdr:col>5</xdr:col>
      <xdr:colOff>0</xdr:colOff>
      <xdr:row>488</xdr:row>
      <xdr:rowOff>0</xdr:rowOff>
    </xdr:to>
    <xdr:sp>
      <xdr:nvSpPr>
        <xdr:cNvPr id="20" name="Line 20"/>
        <xdr:cNvSpPr>
          <a:spLocks/>
        </xdr:cNvSpPr>
      </xdr:nvSpPr>
      <xdr:spPr>
        <a:xfrm>
          <a:off x="4857750" y="115081050"/>
          <a:ext cx="0"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488</xdr:row>
      <xdr:rowOff>0</xdr:rowOff>
    </xdr:from>
    <xdr:to>
      <xdr:col>5</xdr:col>
      <xdr:colOff>0</xdr:colOff>
      <xdr:row>488</xdr:row>
      <xdr:rowOff>0</xdr:rowOff>
    </xdr:to>
    <xdr:sp>
      <xdr:nvSpPr>
        <xdr:cNvPr id="21" name="Line 21"/>
        <xdr:cNvSpPr>
          <a:spLocks/>
        </xdr:cNvSpPr>
      </xdr:nvSpPr>
      <xdr:spPr>
        <a:xfrm>
          <a:off x="4857750" y="1150810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488</xdr:row>
      <xdr:rowOff>0</xdr:rowOff>
    </xdr:from>
    <xdr:to>
      <xdr:col>5</xdr:col>
      <xdr:colOff>0</xdr:colOff>
      <xdr:row>488</xdr:row>
      <xdr:rowOff>0</xdr:rowOff>
    </xdr:to>
    <xdr:sp>
      <xdr:nvSpPr>
        <xdr:cNvPr id="22" name="Line 22"/>
        <xdr:cNvSpPr>
          <a:spLocks/>
        </xdr:cNvSpPr>
      </xdr:nvSpPr>
      <xdr:spPr>
        <a:xfrm>
          <a:off x="4857750" y="115081050"/>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488</xdr:row>
      <xdr:rowOff>0</xdr:rowOff>
    </xdr:from>
    <xdr:to>
      <xdr:col>4</xdr:col>
      <xdr:colOff>0</xdr:colOff>
      <xdr:row>488</xdr:row>
      <xdr:rowOff>0</xdr:rowOff>
    </xdr:to>
    <xdr:sp>
      <xdr:nvSpPr>
        <xdr:cNvPr id="23" name="Line 23"/>
        <xdr:cNvSpPr>
          <a:spLocks/>
        </xdr:cNvSpPr>
      </xdr:nvSpPr>
      <xdr:spPr>
        <a:xfrm>
          <a:off x="4857750" y="11508105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488</xdr:row>
      <xdr:rowOff>0</xdr:rowOff>
    </xdr:from>
    <xdr:to>
      <xdr:col>4</xdr:col>
      <xdr:colOff>0</xdr:colOff>
      <xdr:row>488</xdr:row>
      <xdr:rowOff>0</xdr:rowOff>
    </xdr:to>
    <xdr:sp>
      <xdr:nvSpPr>
        <xdr:cNvPr id="24" name="Line 24"/>
        <xdr:cNvSpPr>
          <a:spLocks/>
        </xdr:cNvSpPr>
      </xdr:nvSpPr>
      <xdr:spPr>
        <a:xfrm>
          <a:off x="4857750" y="11508105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488</xdr:row>
      <xdr:rowOff>0</xdr:rowOff>
    </xdr:from>
    <xdr:to>
      <xdr:col>4</xdr:col>
      <xdr:colOff>0</xdr:colOff>
      <xdr:row>488</xdr:row>
      <xdr:rowOff>0</xdr:rowOff>
    </xdr:to>
    <xdr:sp>
      <xdr:nvSpPr>
        <xdr:cNvPr id="25" name="Line 25"/>
        <xdr:cNvSpPr>
          <a:spLocks/>
        </xdr:cNvSpPr>
      </xdr:nvSpPr>
      <xdr:spPr>
        <a:xfrm>
          <a:off x="4857750" y="11508105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26" name="Line 26"/>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27" name="Line 27"/>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28" name="Line 28"/>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29" name="Line 29"/>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30" name="Line 30"/>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31" name="Line 31"/>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32" name="Line 32"/>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33" name="Line 33"/>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34" name="Line 34"/>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35" name="Line 35"/>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36" name="Line 36"/>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9525</xdr:colOff>
      <xdr:row>12</xdr:row>
      <xdr:rowOff>0</xdr:rowOff>
    </xdr:from>
    <xdr:to>
      <xdr:col>8</xdr:col>
      <xdr:colOff>9525</xdr:colOff>
      <xdr:row>12</xdr:row>
      <xdr:rowOff>0</xdr:rowOff>
    </xdr:to>
    <xdr:sp>
      <xdr:nvSpPr>
        <xdr:cNvPr id="37" name="Line 1"/>
        <xdr:cNvSpPr>
          <a:spLocks/>
        </xdr:cNvSpPr>
      </xdr:nvSpPr>
      <xdr:spPr>
        <a:xfrm>
          <a:off x="9525" y="2219325"/>
          <a:ext cx="48577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38" name="Line 2"/>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12</xdr:row>
      <xdr:rowOff>0</xdr:rowOff>
    </xdr:from>
    <xdr:to>
      <xdr:col>5</xdr:col>
      <xdr:colOff>0</xdr:colOff>
      <xdr:row>12</xdr:row>
      <xdr:rowOff>0</xdr:rowOff>
    </xdr:to>
    <xdr:sp>
      <xdr:nvSpPr>
        <xdr:cNvPr id="39" name="Line 3"/>
        <xdr:cNvSpPr>
          <a:spLocks/>
        </xdr:cNvSpPr>
      </xdr:nvSpPr>
      <xdr:spPr>
        <a:xfrm>
          <a:off x="4857750" y="22193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12</xdr:row>
      <xdr:rowOff>0</xdr:rowOff>
    </xdr:from>
    <xdr:to>
      <xdr:col>5</xdr:col>
      <xdr:colOff>0</xdr:colOff>
      <xdr:row>12</xdr:row>
      <xdr:rowOff>0</xdr:rowOff>
    </xdr:to>
    <xdr:sp>
      <xdr:nvSpPr>
        <xdr:cNvPr id="40" name="Line 4"/>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12</xdr:row>
      <xdr:rowOff>0</xdr:rowOff>
    </xdr:from>
    <xdr:to>
      <xdr:col>4</xdr:col>
      <xdr:colOff>0</xdr:colOff>
      <xdr:row>12</xdr:row>
      <xdr:rowOff>0</xdr:rowOff>
    </xdr:to>
    <xdr:sp>
      <xdr:nvSpPr>
        <xdr:cNvPr id="41" name="Line 5"/>
        <xdr:cNvSpPr>
          <a:spLocks/>
        </xdr:cNvSpPr>
      </xdr:nvSpPr>
      <xdr:spPr>
        <a:xfrm>
          <a:off x="4857750" y="221932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12</xdr:row>
      <xdr:rowOff>0</xdr:rowOff>
    </xdr:from>
    <xdr:to>
      <xdr:col>4</xdr:col>
      <xdr:colOff>0</xdr:colOff>
      <xdr:row>12</xdr:row>
      <xdr:rowOff>0</xdr:rowOff>
    </xdr:to>
    <xdr:sp>
      <xdr:nvSpPr>
        <xdr:cNvPr id="42" name="Line 6"/>
        <xdr:cNvSpPr>
          <a:spLocks/>
        </xdr:cNvSpPr>
      </xdr:nvSpPr>
      <xdr:spPr>
        <a:xfrm>
          <a:off x="4857750" y="22193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12</xdr:row>
      <xdr:rowOff>0</xdr:rowOff>
    </xdr:from>
    <xdr:to>
      <xdr:col>5</xdr:col>
      <xdr:colOff>0</xdr:colOff>
      <xdr:row>12</xdr:row>
      <xdr:rowOff>0</xdr:rowOff>
    </xdr:to>
    <xdr:sp>
      <xdr:nvSpPr>
        <xdr:cNvPr id="43" name="Line 7"/>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12</xdr:row>
      <xdr:rowOff>0</xdr:rowOff>
    </xdr:from>
    <xdr:to>
      <xdr:col>5</xdr:col>
      <xdr:colOff>0</xdr:colOff>
      <xdr:row>12</xdr:row>
      <xdr:rowOff>0</xdr:rowOff>
    </xdr:to>
    <xdr:sp>
      <xdr:nvSpPr>
        <xdr:cNvPr id="44" name="Line 8"/>
        <xdr:cNvSpPr>
          <a:spLocks/>
        </xdr:cNvSpPr>
      </xdr:nvSpPr>
      <xdr:spPr>
        <a:xfrm>
          <a:off x="4857750" y="22193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94</xdr:row>
      <xdr:rowOff>0</xdr:rowOff>
    </xdr:from>
    <xdr:to>
      <xdr:col>5</xdr:col>
      <xdr:colOff>0</xdr:colOff>
      <xdr:row>94</xdr:row>
      <xdr:rowOff>0</xdr:rowOff>
    </xdr:to>
    <xdr:sp>
      <xdr:nvSpPr>
        <xdr:cNvPr id="45" name="Line 9"/>
        <xdr:cNvSpPr>
          <a:spLocks/>
        </xdr:cNvSpPr>
      </xdr:nvSpPr>
      <xdr:spPr>
        <a:xfrm>
          <a:off x="800100" y="22602825"/>
          <a:ext cx="40576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85725</xdr:colOff>
      <xdr:row>94</xdr:row>
      <xdr:rowOff>0</xdr:rowOff>
    </xdr:from>
    <xdr:to>
      <xdr:col>5</xdr:col>
      <xdr:colOff>0</xdr:colOff>
      <xdr:row>94</xdr:row>
      <xdr:rowOff>0</xdr:rowOff>
    </xdr:to>
    <xdr:sp>
      <xdr:nvSpPr>
        <xdr:cNvPr id="46" name="Line 10"/>
        <xdr:cNvSpPr>
          <a:spLocks/>
        </xdr:cNvSpPr>
      </xdr:nvSpPr>
      <xdr:spPr>
        <a:xfrm>
          <a:off x="4857750" y="226028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344</xdr:row>
      <xdr:rowOff>0</xdr:rowOff>
    </xdr:from>
    <xdr:to>
      <xdr:col>5</xdr:col>
      <xdr:colOff>0</xdr:colOff>
      <xdr:row>344</xdr:row>
      <xdr:rowOff>0</xdr:rowOff>
    </xdr:to>
    <xdr:sp>
      <xdr:nvSpPr>
        <xdr:cNvPr id="47" name="Line 11"/>
        <xdr:cNvSpPr>
          <a:spLocks/>
        </xdr:cNvSpPr>
      </xdr:nvSpPr>
      <xdr:spPr>
        <a:xfrm>
          <a:off x="4857750" y="8336280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344</xdr:row>
      <xdr:rowOff>0</xdr:rowOff>
    </xdr:from>
    <xdr:to>
      <xdr:col>5</xdr:col>
      <xdr:colOff>0</xdr:colOff>
      <xdr:row>344</xdr:row>
      <xdr:rowOff>0</xdr:rowOff>
    </xdr:to>
    <xdr:sp>
      <xdr:nvSpPr>
        <xdr:cNvPr id="48" name="Line 12"/>
        <xdr:cNvSpPr>
          <a:spLocks/>
        </xdr:cNvSpPr>
      </xdr:nvSpPr>
      <xdr:spPr>
        <a:xfrm>
          <a:off x="4857750" y="8336280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408</xdr:row>
      <xdr:rowOff>0</xdr:rowOff>
    </xdr:from>
    <xdr:to>
      <xdr:col>5</xdr:col>
      <xdr:colOff>0</xdr:colOff>
      <xdr:row>408</xdr:row>
      <xdr:rowOff>0</xdr:rowOff>
    </xdr:to>
    <xdr:sp>
      <xdr:nvSpPr>
        <xdr:cNvPr id="49" name="Line 13"/>
        <xdr:cNvSpPr>
          <a:spLocks/>
        </xdr:cNvSpPr>
      </xdr:nvSpPr>
      <xdr:spPr>
        <a:xfrm>
          <a:off x="0" y="96878775"/>
          <a:ext cx="485775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408</xdr:row>
      <xdr:rowOff>0</xdr:rowOff>
    </xdr:from>
    <xdr:to>
      <xdr:col>5</xdr:col>
      <xdr:colOff>0</xdr:colOff>
      <xdr:row>408</xdr:row>
      <xdr:rowOff>0</xdr:rowOff>
    </xdr:to>
    <xdr:sp>
      <xdr:nvSpPr>
        <xdr:cNvPr id="50" name="Line 14"/>
        <xdr:cNvSpPr>
          <a:spLocks/>
        </xdr:cNvSpPr>
      </xdr:nvSpPr>
      <xdr:spPr>
        <a:xfrm>
          <a:off x="0" y="96878775"/>
          <a:ext cx="485775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695</xdr:row>
      <xdr:rowOff>0</xdr:rowOff>
    </xdr:from>
    <xdr:to>
      <xdr:col>5</xdr:col>
      <xdr:colOff>0</xdr:colOff>
      <xdr:row>695</xdr:row>
      <xdr:rowOff>0</xdr:rowOff>
    </xdr:to>
    <xdr:sp>
      <xdr:nvSpPr>
        <xdr:cNvPr id="51" name="Line 15"/>
        <xdr:cNvSpPr>
          <a:spLocks/>
        </xdr:cNvSpPr>
      </xdr:nvSpPr>
      <xdr:spPr>
        <a:xfrm>
          <a:off x="4857750" y="1671351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695</xdr:row>
      <xdr:rowOff>9525</xdr:rowOff>
    </xdr:from>
    <xdr:to>
      <xdr:col>8</xdr:col>
      <xdr:colOff>0</xdr:colOff>
      <xdr:row>695</xdr:row>
      <xdr:rowOff>9525</xdr:rowOff>
    </xdr:to>
    <xdr:sp>
      <xdr:nvSpPr>
        <xdr:cNvPr id="52" name="Line 16"/>
        <xdr:cNvSpPr>
          <a:spLocks/>
        </xdr:cNvSpPr>
      </xdr:nvSpPr>
      <xdr:spPr>
        <a:xfrm>
          <a:off x="0" y="167144700"/>
          <a:ext cx="4857750" cy="0"/>
        </a:xfrm>
        <a:prstGeom prst="line">
          <a:avLst/>
        </a:prstGeom>
        <a:noFill/>
        <a:ln w="1524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707</xdr:row>
      <xdr:rowOff>0</xdr:rowOff>
    </xdr:from>
    <xdr:to>
      <xdr:col>5</xdr:col>
      <xdr:colOff>0</xdr:colOff>
      <xdr:row>707</xdr:row>
      <xdr:rowOff>0</xdr:rowOff>
    </xdr:to>
    <xdr:sp>
      <xdr:nvSpPr>
        <xdr:cNvPr id="53" name="Line 17"/>
        <xdr:cNvSpPr>
          <a:spLocks/>
        </xdr:cNvSpPr>
      </xdr:nvSpPr>
      <xdr:spPr>
        <a:xfrm>
          <a:off x="0" y="169725975"/>
          <a:ext cx="4857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707</xdr:row>
      <xdr:rowOff>0</xdr:rowOff>
    </xdr:from>
    <xdr:to>
      <xdr:col>5</xdr:col>
      <xdr:colOff>0</xdr:colOff>
      <xdr:row>707</xdr:row>
      <xdr:rowOff>0</xdr:rowOff>
    </xdr:to>
    <xdr:sp>
      <xdr:nvSpPr>
        <xdr:cNvPr id="54" name="Line 18"/>
        <xdr:cNvSpPr>
          <a:spLocks/>
        </xdr:cNvSpPr>
      </xdr:nvSpPr>
      <xdr:spPr>
        <a:xfrm>
          <a:off x="4857750" y="169725975"/>
          <a:ext cx="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647700</xdr:colOff>
      <xdr:row>707</xdr:row>
      <xdr:rowOff>0</xdr:rowOff>
    </xdr:from>
    <xdr:to>
      <xdr:col>5</xdr:col>
      <xdr:colOff>0</xdr:colOff>
      <xdr:row>707</xdr:row>
      <xdr:rowOff>0</xdr:rowOff>
    </xdr:to>
    <xdr:sp>
      <xdr:nvSpPr>
        <xdr:cNvPr id="55" name="Line 19"/>
        <xdr:cNvSpPr>
          <a:spLocks/>
        </xdr:cNvSpPr>
      </xdr:nvSpPr>
      <xdr:spPr>
        <a:xfrm>
          <a:off x="647700" y="169725975"/>
          <a:ext cx="4210050"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707</xdr:row>
      <xdr:rowOff>0</xdr:rowOff>
    </xdr:from>
    <xdr:to>
      <xdr:col>5</xdr:col>
      <xdr:colOff>0</xdr:colOff>
      <xdr:row>707</xdr:row>
      <xdr:rowOff>0</xdr:rowOff>
    </xdr:to>
    <xdr:sp>
      <xdr:nvSpPr>
        <xdr:cNvPr id="56" name="Line 20"/>
        <xdr:cNvSpPr>
          <a:spLocks/>
        </xdr:cNvSpPr>
      </xdr:nvSpPr>
      <xdr:spPr>
        <a:xfrm>
          <a:off x="4857750" y="169725975"/>
          <a:ext cx="0"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707</xdr:row>
      <xdr:rowOff>0</xdr:rowOff>
    </xdr:from>
    <xdr:to>
      <xdr:col>5</xdr:col>
      <xdr:colOff>0</xdr:colOff>
      <xdr:row>707</xdr:row>
      <xdr:rowOff>0</xdr:rowOff>
    </xdr:to>
    <xdr:sp>
      <xdr:nvSpPr>
        <xdr:cNvPr id="57" name="Line 21"/>
        <xdr:cNvSpPr>
          <a:spLocks/>
        </xdr:cNvSpPr>
      </xdr:nvSpPr>
      <xdr:spPr>
        <a:xfrm>
          <a:off x="4857750" y="1697259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707</xdr:row>
      <xdr:rowOff>0</xdr:rowOff>
    </xdr:from>
    <xdr:to>
      <xdr:col>5</xdr:col>
      <xdr:colOff>0</xdr:colOff>
      <xdr:row>707</xdr:row>
      <xdr:rowOff>0</xdr:rowOff>
    </xdr:to>
    <xdr:sp>
      <xdr:nvSpPr>
        <xdr:cNvPr id="58" name="Line 22"/>
        <xdr:cNvSpPr>
          <a:spLocks/>
        </xdr:cNvSpPr>
      </xdr:nvSpPr>
      <xdr:spPr>
        <a:xfrm>
          <a:off x="4857750" y="16972597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707</xdr:row>
      <xdr:rowOff>0</xdr:rowOff>
    </xdr:from>
    <xdr:to>
      <xdr:col>4</xdr:col>
      <xdr:colOff>0</xdr:colOff>
      <xdr:row>707</xdr:row>
      <xdr:rowOff>0</xdr:rowOff>
    </xdr:to>
    <xdr:sp>
      <xdr:nvSpPr>
        <xdr:cNvPr id="59" name="Line 23"/>
        <xdr:cNvSpPr>
          <a:spLocks/>
        </xdr:cNvSpPr>
      </xdr:nvSpPr>
      <xdr:spPr>
        <a:xfrm>
          <a:off x="4857750" y="1697259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707</xdr:row>
      <xdr:rowOff>0</xdr:rowOff>
    </xdr:from>
    <xdr:to>
      <xdr:col>4</xdr:col>
      <xdr:colOff>0</xdr:colOff>
      <xdr:row>707</xdr:row>
      <xdr:rowOff>0</xdr:rowOff>
    </xdr:to>
    <xdr:sp>
      <xdr:nvSpPr>
        <xdr:cNvPr id="60" name="Line 24"/>
        <xdr:cNvSpPr>
          <a:spLocks/>
        </xdr:cNvSpPr>
      </xdr:nvSpPr>
      <xdr:spPr>
        <a:xfrm>
          <a:off x="4857750" y="1697259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707</xdr:row>
      <xdr:rowOff>0</xdr:rowOff>
    </xdr:from>
    <xdr:to>
      <xdr:col>4</xdr:col>
      <xdr:colOff>0</xdr:colOff>
      <xdr:row>707</xdr:row>
      <xdr:rowOff>0</xdr:rowOff>
    </xdr:to>
    <xdr:sp>
      <xdr:nvSpPr>
        <xdr:cNvPr id="61" name="Line 25"/>
        <xdr:cNvSpPr>
          <a:spLocks/>
        </xdr:cNvSpPr>
      </xdr:nvSpPr>
      <xdr:spPr>
        <a:xfrm>
          <a:off x="4857750" y="1697259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62" name="Line 26"/>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63" name="Line 27"/>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64" name="Line 28"/>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65" name="Line 29"/>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66" name="Line 30"/>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67" name="Line 31"/>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68" name="Line 32"/>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69" name="Line 33"/>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70" name="Line 34"/>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71" name="Line 35"/>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12</xdr:row>
      <xdr:rowOff>0</xdr:rowOff>
    </xdr:from>
    <xdr:to>
      <xdr:col>4</xdr:col>
      <xdr:colOff>628650</xdr:colOff>
      <xdr:row>12</xdr:row>
      <xdr:rowOff>0</xdr:rowOff>
    </xdr:to>
    <xdr:sp>
      <xdr:nvSpPr>
        <xdr:cNvPr id="72" name="Line 36"/>
        <xdr:cNvSpPr>
          <a:spLocks/>
        </xdr:cNvSpPr>
      </xdr:nvSpPr>
      <xdr:spPr>
        <a:xfrm>
          <a:off x="4857750" y="221932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5</xdr:col>
      <xdr:colOff>0</xdr:colOff>
      <xdr:row>17</xdr:row>
      <xdr:rowOff>0</xdr:rowOff>
    </xdr:to>
    <xdr:sp>
      <xdr:nvSpPr>
        <xdr:cNvPr id="1" name="Line 1"/>
        <xdr:cNvSpPr>
          <a:spLocks/>
        </xdr:cNvSpPr>
      </xdr:nvSpPr>
      <xdr:spPr>
        <a:xfrm>
          <a:off x="0" y="1933575"/>
          <a:ext cx="4038600" cy="0"/>
        </a:xfrm>
        <a:prstGeom prst="line">
          <a:avLst/>
        </a:prstGeom>
        <a:noFill/>
        <a:ln w="317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 name="Line 2"/>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3" name="Line 3"/>
        <xdr:cNvSpPr>
          <a:spLocks/>
        </xdr:cNvSpPr>
      </xdr:nvSpPr>
      <xdr:spPr>
        <a:xfrm>
          <a:off x="40386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4" name="Line 4"/>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17</xdr:row>
      <xdr:rowOff>0</xdr:rowOff>
    </xdr:from>
    <xdr:to>
      <xdr:col>4</xdr:col>
      <xdr:colOff>0</xdr:colOff>
      <xdr:row>17</xdr:row>
      <xdr:rowOff>0</xdr:rowOff>
    </xdr:to>
    <xdr:sp>
      <xdr:nvSpPr>
        <xdr:cNvPr id="5" name="Line 5"/>
        <xdr:cNvSpPr>
          <a:spLocks/>
        </xdr:cNvSpPr>
      </xdr:nvSpPr>
      <xdr:spPr>
        <a:xfrm>
          <a:off x="4038600" y="193357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17</xdr:row>
      <xdr:rowOff>0</xdr:rowOff>
    </xdr:from>
    <xdr:to>
      <xdr:col>4</xdr:col>
      <xdr:colOff>0</xdr:colOff>
      <xdr:row>17</xdr:row>
      <xdr:rowOff>0</xdr:rowOff>
    </xdr:to>
    <xdr:sp>
      <xdr:nvSpPr>
        <xdr:cNvPr id="6" name="Line 6"/>
        <xdr:cNvSpPr>
          <a:spLocks/>
        </xdr:cNvSpPr>
      </xdr:nvSpPr>
      <xdr:spPr>
        <a:xfrm>
          <a:off x="40386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7" name="Line 7"/>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8" name="Line 8"/>
        <xdr:cNvSpPr>
          <a:spLocks/>
        </xdr:cNvSpPr>
      </xdr:nvSpPr>
      <xdr:spPr>
        <a:xfrm>
          <a:off x="40386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17</xdr:row>
      <xdr:rowOff>0</xdr:rowOff>
    </xdr:from>
    <xdr:to>
      <xdr:col>5</xdr:col>
      <xdr:colOff>0</xdr:colOff>
      <xdr:row>17</xdr:row>
      <xdr:rowOff>0</xdr:rowOff>
    </xdr:to>
    <xdr:sp>
      <xdr:nvSpPr>
        <xdr:cNvPr id="9" name="Line 9"/>
        <xdr:cNvSpPr>
          <a:spLocks/>
        </xdr:cNvSpPr>
      </xdr:nvSpPr>
      <xdr:spPr>
        <a:xfrm>
          <a:off x="704850" y="1933575"/>
          <a:ext cx="3333750" cy="0"/>
        </a:xfrm>
        <a:prstGeom prst="line">
          <a:avLst/>
        </a:prstGeom>
        <a:noFill/>
        <a:ln w="317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85725</xdr:colOff>
      <xdr:row>17</xdr:row>
      <xdr:rowOff>0</xdr:rowOff>
    </xdr:from>
    <xdr:to>
      <xdr:col>5</xdr:col>
      <xdr:colOff>0</xdr:colOff>
      <xdr:row>17</xdr:row>
      <xdr:rowOff>0</xdr:rowOff>
    </xdr:to>
    <xdr:sp>
      <xdr:nvSpPr>
        <xdr:cNvPr id="10" name="Line 10"/>
        <xdr:cNvSpPr>
          <a:spLocks/>
        </xdr:cNvSpPr>
      </xdr:nvSpPr>
      <xdr:spPr>
        <a:xfrm>
          <a:off x="40386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11" name="Line 11"/>
        <xdr:cNvSpPr>
          <a:spLocks/>
        </xdr:cNvSpPr>
      </xdr:nvSpPr>
      <xdr:spPr>
        <a:xfrm>
          <a:off x="40386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12" name="Line 12"/>
        <xdr:cNvSpPr>
          <a:spLocks/>
        </xdr:cNvSpPr>
      </xdr:nvSpPr>
      <xdr:spPr>
        <a:xfrm>
          <a:off x="40386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13" name="Line 13"/>
        <xdr:cNvSpPr>
          <a:spLocks/>
        </xdr:cNvSpPr>
      </xdr:nvSpPr>
      <xdr:spPr>
        <a:xfrm>
          <a:off x="0" y="1933575"/>
          <a:ext cx="4038600" cy="0"/>
        </a:xfrm>
        <a:prstGeom prst="line">
          <a:avLst/>
        </a:prstGeom>
        <a:noFill/>
        <a:ln w="889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14" name="Line 14"/>
        <xdr:cNvSpPr>
          <a:spLocks/>
        </xdr:cNvSpPr>
      </xdr:nvSpPr>
      <xdr:spPr>
        <a:xfrm>
          <a:off x="0" y="1933575"/>
          <a:ext cx="4038600" cy="0"/>
        </a:xfrm>
        <a:prstGeom prst="line">
          <a:avLst/>
        </a:prstGeom>
        <a:noFill/>
        <a:ln w="1206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15" name="Line 15"/>
        <xdr:cNvSpPr>
          <a:spLocks/>
        </xdr:cNvSpPr>
      </xdr:nvSpPr>
      <xdr:spPr>
        <a:xfrm>
          <a:off x="40386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16" name="Line 16"/>
        <xdr:cNvSpPr>
          <a:spLocks/>
        </xdr:cNvSpPr>
      </xdr:nvSpPr>
      <xdr:spPr>
        <a:xfrm>
          <a:off x="0" y="1933575"/>
          <a:ext cx="4038600" cy="0"/>
        </a:xfrm>
        <a:prstGeom prst="line">
          <a:avLst/>
        </a:prstGeom>
        <a:noFill/>
        <a:ln w="1524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17" name="Line 17"/>
        <xdr:cNvSpPr>
          <a:spLocks/>
        </xdr:cNvSpPr>
      </xdr:nvSpPr>
      <xdr:spPr>
        <a:xfrm>
          <a:off x="0" y="1933575"/>
          <a:ext cx="4038600"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18" name="Line 18"/>
        <xdr:cNvSpPr>
          <a:spLocks/>
        </xdr:cNvSpPr>
      </xdr:nvSpPr>
      <xdr:spPr>
        <a:xfrm>
          <a:off x="4038600" y="1933575"/>
          <a:ext cx="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561975</xdr:colOff>
      <xdr:row>17</xdr:row>
      <xdr:rowOff>0</xdr:rowOff>
    </xdr:from>
    <xdr:to>
      <xdr:col>5</xdr:col>
      <xdr:colOff>0</xdr:colOff>
      <xdr:row>17</xdr:row>
      <xdr:rowOff>0</xdr:rowOff>
    </xdr:to>
    <xdr:sp>
      <xdr:nvSpPr>
        <xdr:cNvPr id="19" name="Line 19"/>
        <xdr:cNvSpPr>
          <a:spLocks/>
        </xdr:cNvSpPr>
      </xdr:nvSpPr>
      <xdr:spPr>
        <a:xfrm>
          <a:off x="561975" y="1933575"/>
          <a:ext cx="3476625"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173</xdr:row>
      <xdr:rowOff>0</xdr:rowOff>
    </xdr:from>
    <xdr:to>
      <xdr:col>5</xdr:col>
      <xdr:colOff>0</xdr:colOff>
      <xdr:row>173</xdr:row>
      <xdr:rowOff>0</xdr:rowOff>
    </xdr:to>
    <xdr:sp>
      <xdr:nvSpPr>
        <xdr:cNvPr id="20" name="Line 20"/>
        <xdr:cNvSpPr>
          <a:spLocks/>
        </xdr:cNvSpPr>
      </xdr:nvSpPr>
      <xdr:spPr>
        <a:xfrm>
          <a:off x="4038600" y="28155900"/>
          <a:ext cx="0"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178</xdr:row>
      <xdr:rowOff>161925</xdr:rowOff>
    </xdr:from>
    <xdr:to>
      <xdr:col>5</xdr:col>
      <xdr:colOff>0</xdr:colOff>
      <xdr:row>179</xdr:row>
      <xdr:rowOff>161925</xdr:rowOff>
    </xdr:to>
    <xdr:sp>
      <xdr:nvSpPr>
        <xdr:cNvPr id="21" name="Line 21"/>
        <xdr:cNvSpPr>
          <a:spLocks/>
        </xdr:cNvSpPr>
      </xdr:nvSpPr>
      <xdr:spPr>
        <a:xfrm>
          <a:off x="4038600" y="29127450"/>
          <a:ext cx="0" cy="161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2" name="Line 26"/>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3" name="Line 27"/>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4" name="Line 28"/>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5" name="Line 29"/>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6" name="Line 30"/>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7" name="Line 31"/>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8" name="Line 32"/>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29" name="Line 33"/>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30" name="Line 34"/>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31" name="Line 35"/>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32" name="Line 36"/>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33" name="Line 39"/>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34" name="Line 40"/>
        <xdr:cNvSpPr>
          <a:spLocks/>
        </xdr:cNvSpPr>
      </xdr:nvSpPr>
      <xdr:spPr>
        <a:xfrm>
          <a:off x="49530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35" name="Line 41"/>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17</xdr:row>
      <xdr:rowOff>0</xdr:rowOff>
    </xdr:from>
    <xdr:to>
      <xdr:col>10</xdr:col>
      <xdr:colOff>0</xdr:colOff>
      <xdr:row>17</xdr:row>
      <xdr:rowOff>0</xdr:rowOff>
    </xdr:to>
    <xdr:sp>
      <xdr:nvSpPr>
        <xdr:cNvPr id="36" name="Line 42"/>
        <xdr:cNvSpPr>
          <a:spLocks/>
        </xdr:cNvSpPr>
      </xdr:nvSpPr>
      <xdr:spPr>
        <a:xfrm>
          <a:off x="4953000" y="193357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17</xdr:row>
      <xdr:rowOff>0</xdr:rowOff>
    </xdr:from>
    <xdr:to>
      <xdr:col>10</xdr:col>
      <xdr:colOff>0</xdr:colOff>
      <xdr:row>17</xdr:row>
      <xdr:rowOff>0</xdr:rowOff>
    </xdr:to>
    <xdr:sp>
      <xdr:nvSpPr>
        <xdr:cNvPr id="37" name="Line 43"/>
        <xdr:cNvSpPr>
          <a:spLocks/>
        </xdr:cNvSpPr>
      </xdr:nvSpPr>
      <xdr:spPr>
        <a:xfrm>
          <a:off x="49530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38" name="Line 44"/>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39" name="Line 45"/>
        <xdr:cNvSpPr>
          <a:spLocks/>
        </xdr:cNvSpPr>
      </xdr:nvSpPr>
      <xdr:spPr>
        <a:xfrm>
          <a:off x="49530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7</xdr:col>
      <xdr:colOff>142875</xdr:colOff>
      <xdr:row>17</xdr:row>
      <xdr:rowOff>0</xdr:rowOff>
    </xdr:from>
    <xdr:to>
      <xdr:col>11</xdr:col>
      <xdr:colOff>0</xdr:colOff>
      <xdr:row>17</xdr:row>
      <xdr:rowOff>0</xdr:rowOff>
    </xdr:to>
    <xdr:sp>
      <xdr:nvSpPr>
        <xdr:cNvPr id="40" name="Line 46"/>
        <xdr:cNvSpPr>
          <a:spLocks/>
        </xdr:cNvSpPr>
      </xdr:nvSpPr>
      <xdr:spPr>
        <a:xfrm>
          <a:off x="4038600" y="1933575"/>
          <a:ext cx="914400" cy="0"/>
        </a:xfrm>
        <a:prstGeom prst="line">
          <a:avLst/>
        </a:prstGeom>
        <a:noFill/>
        <a:ln w="317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85725</xdr:colOff>
      <xdr:row>17</xdr:row>
      <xdr:rowOff>0</xdr:rowOff>
    </xdr:from>
    <xdr:to>
      <xdr:col>11</xdr:col>
      <xdr:colOff>0</xdr:colOff>
      <xdr:row>17</xdr:row>
      <xdr:rowOff>0</xdr:rowOff>
    </xdr:to>
    <xdr:sp>
      <xdr:nvSpPr>
        <xdr:cNvPr id="41" name="Line 47"/>
        <xdr:cNvSpPr>
          <a:spLocks/>
        </xdr:cNvSpPr>
      </xdr:nvSpPr>
      <xdr:spPr>
        <a:xfrm>
          <a:off x="49530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42" name="Line 48"/>
        <xdr:cNvSpPr>
          <a:spLocks/>
        </xdr:cNvSpPr>
      </xdr:nvSpPr>
      <xdr:spPr>
        <a:xfrm>
          <a:off x="49530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43" name="Line 49"/>
        <xdr:cNvSpPr>
          <a:spLocks/>
        </xdr:cNvSpPr>
      </xdr:nvSpPr>
      <xdr:spPr>
        <a:xfrm>
          <a:off x="49530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44" name="Line 50"/>
        <xdr:cNvSpPr>
          <a:spLocks/>
        </xdr:cNvSpPr>
      </xdr:nvSpPr>
      <xdr:spPr>
        <a:xfrm>
          <a:off x="49530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45" name="Line 51"/>
        <xdr:cNvSpPr>
          <a:spLocks/>
        </xdr:cNvSpPr>
      </xdr:nvSpPr>
      <xdr:spPr>
        <a:xfrm>
          <a:off x="4953000" y="1933575"/>
          <a:ext cx="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173</xdr:row>
      <xdr:rowOff>0</xdr:rowOff>
    </xdr:from>
    <xdr:to>
      <xdr:col>11</xdr:col>
      <xdr:colOff>0</xdr:colOff>
      <xdr:row>173</xdr:row>
      <xdr:rowOff>0</xdr:rowOff>
    </xdr:to>
    <xdr:sp>
      <xdr:nvSpPr>
        <xdr:cNvPr id="46" name="Line 52"/>
        <xdr:cNvSpPr>
          <a:spLocks/>
        </xdr:cNvSpPr>
      </xdr:nvSpPr>
      <xdr:spPr>
        <a:xfrm>
          <a:off x="4953000" y="28155900"/>
          <a:ext cx="0"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178</xdr:row>
      <xdr:rowOff>161925</xdr:rowOff>
    </xdr:from>
    <xdr:to>
      <xdr:col>11</xdr:col>
      <xdr:colOff>0</xdr:colOff>
      <xdr:row>179</xdr:row>
      <xdr:rowOff>161925</xdr:rowOff>
    </xdr:to>
    <xdr:sp>
      <xdr:nvSpPr>
        <xdr:cNvPr id="47" name="Line 53"/>
        <xdr:cNvSpPr>
          <a:spLocks/>
        </xdr:cNvSpPr>
      </xdr:nvSpPr>
      <xdr:spPr>
        <a:xfrm>
          <a:off x="4953000" y="29127450"/>
          <a:ext cx="0" cy="161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48" name="Line 58"/>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49" name="Line 59"/>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0" name="Line 60"/>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1" name="Line 61"/>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2" name="Line 62"/>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3" name="Line 63"/>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4" name="Line 64"/>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5" name="Line 65"/>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6" name="Line 66"/>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7" name="Line 67"/>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58" name="Line 68"/>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59" name="Line 1"/>
        <xdr:cNvSpPr>
          <a:spLocks/>
        </xdr:cNvSpPr>
      </xdr:nvSpPr>
      <xdr:spPr>
        <a:xfrm>
          <a:off x="0" y="1933575"/>
          <a:ext cx="4038600" cy="0"/>
        </a:xfrm>
        <a:prstGeom prst="line">
          <a:avLst/>
        </a:prstGeom>
        <a:noFill/>
        <a:ln w="317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60" name="Line 2"/>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61" name="Line 3"/>
        <xdr:cNvSpPr>
          <a:spLocks/>
        </xdr:cNvSpPr>
      </xdr:nvSpPr>
      <xdr:spPr>
        <a:xfrm>
          <a:off x="40386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62" name="Line 4"/>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17</xdr:row>
      <xdr:rowOff>0</xdr:rowOff>
    </xdr:from>
    <xdr:to>
      <xdr:col>4</xdr:col>
      <xdr:colOff>0</xdr:colOff>
      <xdr:row>17</xdr:row>
      <xdr:rowOff>0</xdr:rowOff>
    </xdr:to>
    <xdr:sp>
      <xdr:nvSpPr>
        <xdr:cNvPr id="63" name="Line 5"/>
        <xdr:cNvSpPr>
          <a:spLocks/>
        </xdr:cNvSpPr>
      </xdr:nvSpPr>
      <xdr:spPr>
        <a:xfrm>
          <a:off x="4038600" y="193357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17</xdr:row>
      <xdr:rowOff>0</xdr:rowOff>
    </xdr:from>
    <xdr:to>
      <xdr:col>4</xdr:col>
      <xdr:colOff>0</xdr:colOff>
      <xdr:row>17</xdr:row>
      <xdr:rowOff>0</xdr:rowOff>
    </xdr:to>
    <xdr:sp>
      <xdr:nvSpPr>
        <xdr:cNvPr id="64" name="Line 6"/>
        <xdr:cNvSpPr>
          <a:spLocks/>
        </xdr:cNvSpPr>
      </xdr:nvSpPr>
      <xdr:spPr>
        <a:xfrm>
          <a:off x="40386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65" name="Line 7"/>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66" name="Line 8"/>
        <xdr:cNvSpPr>
          <a:spLocks/>
        </xdr:cNvSpPr>
      </xdr:nvSpPr>
      <xdr:spPr>
        <a:xfrm>
          <a:off x="40386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17</xdr:row>
      <xdr:rowOff>0</xdr:rowOff>
    </xdr:from>
    <xdr:to>
      <xdr:col>5</xdr:col>
      <xdr:colOff>0</xdr:colOff>
      <xdr:row>17</xdr:row>
      <xdr:rowOff>0</xdr:rowOff>
    </xdr:to>
    <xdr:sp>
      <xdr:nvSpPr>
        <xdr:cNvPr id="67" name="Line 9"/>
        <xdr:cNvSpPr>
          <a:spLocks/>
        </xdr:cNvSpPr>
      </xdr:nvSpPr>
      <xdr:spPr>
        <a:xfrm>
          <a:off x="704850" y="1933575"/>
          <a:ext cx="3333750" cy="0"/>
        </a:xfrm>
        <a:prstGeom prst="line">
          <a:avLst/>
        </a:prstGeom>
        <a:noFill/>
        <a:ln w="317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85725</xdr:colOff>
      <xdr:row>17</xdr:row>
      <xdr:rowOff>0</xdr:rowOff>
    </xdr:from>
    <xdr:to>
      <xdr:col>5</xdr:col>
      <xdr:colOff>0</xdr:colOff>
      <xdr:row>17</xdr:row>
      <xdr:rowOff>0</xdr:rowOff>
    </xdr:to>
    <xdr:sp>
      <xdr:nvSpPr>
        <xdr:cNvPr id="68" name="Line 10"/>
        <xdr:cNvSpPr>
          <a:spLocks/>
        </xdr:cNvSpPr>
      </xdr:nvSpPr>
      <xdr:spPr>
        <a:xfrm>
          <a:off x="40386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69" name="Line 11"/>
        <xdr:cNvSpPr>
          <a:spLocks/>
        </xdr:cNvSpPr>
      </xdr:nvSpPr>
      <xdr:spPr>
        <a:xfrm>
          <a:off x="40386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70" name="Line 12"/>
        <xdr:cNvSpPr>
          <a:spLocks/>
        </xdr:cNvSpPr>
      </xdr:nvSpPr>
      <xdr:spPr>
        <a:xfrm>
          <a:off x="40386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71" name="Line 13"/>
        <xdr:cNvSpPr>
          <a:spLocks/>
        </xdr:cNvSpPr>
      </xdr:nvSpPr>
      <xdr:spPr>
        <a:xfrm>
          <a:off x="0" y="1933575"/>
          <a:ext cx="4038600" cy="0"/>
        </a:xfrm>
        <a:prstGeom prst="line">
          <a:avLst/>
        </a:prstGeom>
        <a:noFill/>
        <a:ln w="889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72" name="Line 14"/>
        <xdr:cNvSpPr>
          <a:spLocks/>
        </xdr:cNvSpPr>
      </xdr:nvSpPr>
      <xdr:spPr>
        <a:xfrm>
          <a:off x="0" y="1933575"/>
          <a:ext cx="4038600" cy="0"/>
        </a:xfrm>
        <a:prstGeom prst="line">
          <a:avLst/>
        </a:prstGeom>
        <a:noFill/>
        <a:ln w="1206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73" name="Line 15"/>
        <xdr:cNvSpPr>
          <a:spLocks/>
        </xdr:cNvSpPr>
      </xdr:nvSpPr>
      <xdr:spPr>
        <a:xfrm>
          <a:off x="40386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74" name="Line 16"/>
        <xdr:cNvSpPr>
          <a:spLocks/>
        </xdr:cNvSpPr>
      </xdr:nvSpPr>
      <xdr:spPr>
        <a:xfrm>
          <a:off x="0" y="1933575"/>
          <a:ext cx="4038600" cy="0"/>
        </a:xfrm>
        <a:prstGeom prst="line">
          <a:avLst/>
        </a:prstGeom>
        <a:noFill/>
        <a:ln w="1524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5</xdr:col>
      <xdr:colOff>0</xdr:colOff>
      <xdr:row>17</xdr:row>
      <xdr:rowOff>0</xdr:rowOff>
    </xdr:to>
    <xdr:sp>
      <xdr:nvSpPr>
        <xdr:cNvPr id="75" name="Line 17"/>
        <xdr:cNvSpPr>
          <a:spLocks/>
        </xdr:cNvSpPr>
      </xdr:nvSpPr>
      <xdr:spPr>
        <a:xfrm>
          <a:off x="0" y="1933575"/>
          <a:ext cx="4038600"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xdr:row>
      <xdr:rowOff>0</xdr:rowOff>
    </xdr:from>
    <xdr:to>
      <xdr:col>5</xdr:col>
      <xdr:colOff>0</xdr:colOff>
      <xdr:row>17</xdr:row>
      <xdr:rowOff>0</xdr:rowOff>
    </xdr:to>
    <xdr:sp>
      <xdr:nvSpPr>
        <xdr:cNvPr id="76" name="Line 18"/>
        <xdr:cNvSpPr>
          <a:spLocks/>
        </xdr:cNvSpPr>
      </xdr:nvSpPr>
      <xdr:spPr>
        <a:xfrm>
          <a:off x="4038600" y="1933575"/>
          <a:ext cx="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561975</xdr:colOff>
      <xdr:row>17</xdr:row>
      <xdr:rowOff>0</xdr:rowOff>
    </xdr:from>
    <xdr:to>
      <xdr:col>5</xdr:col>
      <xdr:colOff>0</xdr:colOff>
      <xdr:row>17</xdr:row>
      <xdr:rowOff>0</xdr:rowOff>
    </xdr:to>
    <xdr:sp>
      <xdr:nvSpPr>
        <xdr:cNvPr id="77" name="Line 19"/>
        <xdr:cNvSpPr>
          <a:spLocks/>
        </xdr:cNvSpPr>
      </xdr:nvSpPr>
      <xdr:spPr>
        <a:xfrm>
          <a:off x="561975" y="1933575"/>
          <a:ext cx="3476625"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173</xdr:row>
      <xdr:rowOff>0</xdr:rowOff>
    </xdr:from>
    <xdr:to>
      <xdr:col>5</xdr:col>
      <xdr:colOff>0</xdr:colOff>
      <xdr:row>173</xdr:row>
      <xdr:rowOff>0</xdr:rowOff>
    </xdr:to>
    <xdr:sp>
      <xdr:nvSpPr>
        <xdr:cNvPr id="78" name="Line 20"/>
        <xdr:cNvSpPr>
          <a:spLocks/>
        </xdr:cNvSpPr>
      </xdr:nvSpPr>
      <xdr:spPr>
        <a:xfrm>
          <a:off x="4038600" y="28155900"/>
          <a:ext cx="0"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178</xdr:row>
      <xdr:rowOff>161925</xdr:rowOff>
    </xdr:from>
    <xdr:to>
      <xdr:col>5</xdr:col>
      <xdr:colOff>0</xdr:colOff>
      <xdr:row>179</xdr:row>
      <xdr:rowOff>161925</xdr:rowOff>
    </xdr:to>
    <xdr:sp>
      <xdr:nvSpPr>
        <xdr:cNvPr id="79" name="Line 21"/>
        <xdr:cNvSpPr>
          <a:spLocks/>
        </xdr:cNvSpPr>
      </xdr:nvSpPr>
      <xdr:spPr>
        <a:xfrm>
          <a:off x="4038600" y="29127450"/>
          <a:ext cx="0" cy="161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268</xdr:row>
      <xdr:rowOff>0</xdr:rowOff>
    </xdr:from>
    <xdr:to>
      <xdr:col>5</xdr:col>
      <xdr:colOff>0</xdr:colOff>
      <xdr:row>268</xdr:row>
      <xdr:rowOff>0</xdr:rowOff>
    </xdr:to>
    <xdr:sp>
      <xdr:nvSpPr>
        <xdr:cNvPr id="80" name="Line 22"/>
        <xdr:cNvSpPr>
          <a:spLocks/>
        </xdr:cNvSpPr>
      </xdr:nvSpPr>
      <xdr:spPr>
        <a:xfrm>
          <a:off x="4038600" y="4536757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268</xdr:row>
      <xdr:rowOff>0</xdr:rowOff>
    </xdr:from>
    <xdr:to>
      <xdr:col>4</xdr:col>
      <xdr:colOff>0</xdr:colOff>
      <xdr:row>268</xdr:row>
      <xdr:rowOff>0</xdr:rowOff>
    </xdr:to>
    <xdr:sp>
      <xdr:nvSpPr>
        <xdr:cNvPr id="81" name="Line 23"/>
        <xdr:cNvSpPr>
          <a:spLocks/>
        </xdr:cNvSpPr>
      </xdr:nvSpPr>
      <xdr:spPr>
        <a:xfrm>
          <a:off x="4038600" y="45367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268</xdr:row>
      <xdr:rowOff>0</xdr:rowOff>
    </xdr:from>
    <xdr:to>
      <xdr:col>4</xdr:col>
      <xdr:colOff>0</xdr:colOff>
      <xdr:row>268</xdr:row>
      <xdr:rowOff>0</xdr:rowOff>
    </xdr:to>
    <xdr:sp>
      <xdr:nvSpPr>
        <xdr:cNvPr id="82" name="Line 24"/>
        <xdr:cNvSpPr>
          <a:spLocks/>
        </xdr:cNvSpPr>
      </xdr:nvSpPr>
      <xdr:spPr>
        <a:xfrm>
          <a:off x="4038600" y="45367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268</xdr:row>
      <xdr:rowOff>0</xdr:rowOff>
    </xdr:from>
    <xdr:to>
      <xdr:col>4</xdr:col>
      <xdr:colOff>0</xdr:colOff>
      <xdr:row>268</xdr:row>
      <xdr:rowOff>0</xdr:rowOff>
    </xdr:to>
    <xdr:sp>
      <xdr:nvSpPr>
        <xdr:cNvPr id="83" name="Line 25"/>
        <xdr:cNvSpPr>
          <a:spLocks/>
        </xdr:cNvSpPr>
      </xdr:nvSpPr>
      <xdr:spPr>
        <a:xfrm>
          <a:off x="4038600" y="45367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84" name="Line 26"/>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85" name="Line 27"/>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86" name="Line 28"/>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87" name="Line 29"/>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88" name="Line 30"/>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89" name="Line 31"/>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90" name="Line 32"/>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91" name="Line 33"/>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92" name="Line 34"/>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93" name="Line 35"/>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17</xdr:row>
      <xdr:rowOff>0</xdr:rowOff>
    </xdr:from>
    <xdr:to>
      <xdr:col>4</xdr:col>
      <xdr:colOff>628650</xdr:colOff>
      <xdr:row>17</xdr:row>
      <xdr:rowOff>0</xdr:rowOff>
    </xdr:to>
    <xdr:sp>
      <xdr:nvSpPr>
        <xdr:cNvPr id="94" name="Line 36"/>
        <xdr:cNvSpPr>
          <a:spLocks/>
        </xdr:cNvSpPr>
      </xdr:nvSpPr>
      <xdr:spPr>
        <a:xfrm>
          <a:off x="40386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95" name="Line 39"/>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96" name="Line 40"/>
        <xdr:cNvSpPr>
          <a:spLocks/>
        </xdr:cNvSpPr>
      </xdr:nvSpPr>
      <xdr:spPr>
        <a:xfrm>
          <a:off x="49530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97" name="Line 41"/>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17</xdr:row>
      <xdr:rowOff>0</xdr:rowOff>
    </xdr:from>
    <xdr:to>
      <xdr:col>10</xdr:col>
      <xdr:colOff>0</xdr:colOff>
      <xdr:row>17</xdr:row>
      <xdr:rowOff>0</xdr:rowOff>
    </xdr:to>
    <xdr:sp>
      <xdr:nvSpPr>
        <xdr:cNvPr id="98" name="Line 42"/>
        <xdr:cNvSpPr>
          <a:spLocks/>
        </xdr:cNvSpPr>
      </xdr:nvSpPr>
      <xdr:spPr>
        <a:xfrm>
          <a:off x="4953000" y="193357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17</xdr:row>
      <xdr:rowOff>0</xdr:rowOff>
    </xdr:from>
    <xdr:to>
      <xdr:col>10</xdr:col>
      <xdr:colOff>0</xdr:colOff>
      <xdr:row>17</xdr:row>
      <xdr:rowOff>0</xdr:rowOff>
    </xdr:to>
    <xdr:sp>
      <xdr:nvSpPr>
        <xdr:cNvPr id="99" name="Line 43"/>
        <xdr:cNvSpPr>
          <a:spLocks/>
        </xdr:cNvSpPr>
      </xdr:nvSpPr>
      <xdr:spPr>
        <a:xfrm>
          <a:off x="49530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100" name="Line 44"/>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101" name="Line 45"/>
        <xdr:cNvSpPr>
          <a:spLocks/>
        </xdr:cNvSpPr>
      </xdr:nvSpPr>
      <xdr:spPr>
        <a:xfrm>
          <a:off x="49530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7</xdr:col>
      <xdr:colOff>142875</xdr:colOff>
      <xdr:row>17</xdr:row>
      <xdr:rowOff>0</xdr:rowOff>
    </xdr:from>
    <xdr:to>
      <xdr:col>11</xdr:col>
      <xdr:colOff>0</xdr:colOff>
      <xdr:row>17</xdr:row>
      <xdr:rowOff>0</xdr:rowOff>
    </xdr:to>
    <xdr:sp>
      <xdr:nvSpPr>
        <xdr:cNvPr id="102" name="Line 46"/>
        <xdr:cNvSpPr>
          <a:spLocks/>
        </xdr:cNvSpPr>
      </xdr:nvSpPr>
      <xdr:spPr>
        <a:xfrm>
          <a:off x="4038600" y="1933575"/>
          <a:ext cx="914400" cy="0"/>
        </a:xfrm>
        <a:prstGeom prst="line">
          <a:avLst/>
        </a:prstGeom>
        <a:noFill/>
        <a:ln w="317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85725</xdr:colOff>
      <xdr:row>17</xdr:row>
      <xdr:rowOff>0</xdr:rowOff>
    </xdr:from>
    <xdr:to>
      <xdr:col>11</xdr:col>
      <xdr:colOff>0</xdr:colOff>
      <xdr:row>17</xdr:row>
      <xdr:rowOff>0</xdr:rowOff>
    </xdr:to>
    <xdr:sp>
      <xdr:nvSpPr>
        <xdr:cNvPr id="103" name="Line 47"/>
        <xdr:cNvSpPr>
          <a:spLocks/>
        </xdr:cNvSpPr>
      </xdr:nvSpPr>
      <xdr:spPr>
        <a:xfrm>
          <a:off x="4953000" y="1933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104" name="Line 48"/>
        <xdr:cNvSpPr>
          <a:spLocks/>
        </xdr:cNvSpPr>
      </xdr:nvSpPr>
      <xdr:spPr>
        <a:xfrm>
          <a:off x="49530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105" name="Line 49"/>
        <xdr:cNvSpPr>
          <a:spLocks/>
        </xdr:cNvSpPr>
      </xdr:nvSpPr>
      <xdr:spPr>
        <a:xfrm>
          <a:off x="49530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106" name="Line 50"/>
        <xdr:cNvSpPr>
          <a:spLocks/>
        </xdr:cNvSpPr>
      </xdr:nvSpPr>
      <xdr:spPr>
        <a:xfrm>
          <a:off x="4953000" y="1933575"/>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xdr:row>
      <xdr:rowOff>0</xdr:rowOff>
    </xdr:from>
    <xdr:to>
      <xdr:col>11</xdr:col>
      <xdr:colOff>0</xdr:colOff>
      <xdr:row>17</xdr:row>
      <xdr:rowOff>0</xdr:rowOff>
    </xdr:to>
    <xdr:sp>
      <xdr:nvSpPr>
        <xdr:cNvPr id="107" name="Line 51"/>
        <xdr:cNvSpPr>
          <a:spLocks/>
        </xdr:cNvSpPr>
      </xdr:nvSpPr>
      <xdr:spPr>
        <a:xfrm>
          <a:off x="4953000" y="1933575"/>
          <a:ext cx="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173</xdr:row>
      <xdr:rowOff>0</xdr:rowOff>
    </xdr:from>
    <xdr:to>
      <xdr:col>11</xdr:col>
      <xdr:colOff>0</xdr:colOff>
      <xdr:row>173</xdr:row>
      <xdr:rowOff>0</xdr:rowOff>
    </xdr:to>
    <xdr:sp>
      <xdr:nvSpPr>
        <xdr:cNvPr id="108" name="Line 52"/>
        <xdr:cNvSpPr>
          <a:spLocks/>
        </xdr:cNvSpPr>
      </xdr:nvSpPr>
      <xdr:spPr>
        <a:xfrm>
          <a:off x="4953000" y="28155900"/>
          <a:ext cx="0"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178</xdr:row>
      <xdr:rowOff>161925</xdr:rowOff>
    </xdr:from>
    <xdr:to>
      <xdr:col>11</xdr:col>
      <xdr:colOff>0</xdr:colOff>
      <xdr:row>179</xdr:row>
      <xdr:rowOff>161925</xdr:rowOff>
    </xdr:to>
    <xdr:sp>
      <xdr:nvSpPr>
        <xdr:cNvPr id="109" name="Line 53"/>
        <xdr:cNvSpPr>
          <a:spLocks/>
        </xdr:cNvSpPr>
      </xdr:nvSpPr>
      <xdr:spPr>
        <a:xfrm>
          <a:off x="4953000" y="29127450"/>
          <a:ext cx="0" cy="161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0</xdr:colOff>
      <xdr:row>268</xdr:row>
      <xdr:rowOff>0</xdr:rowOff>
    </xdr:from>
    <xdr:to>
      <xdr:col>11</xdr:col>
      <xdr:colOff>0</xdr:colOff>
      <xdr:row>268</xdr:row>
      <xdr:rowOff>0</xdr:rowOff>
    </xdr:to>
    <xdr:sp>
      <xdr:nvSpPr>
        <xdr:cNvPr id="110" name="Line 54"/>
        <xdr:cNvSpPr>
          <a:spLocks/>
        </xdr:cNvSpPr>
      </xdr:nvSpPr>
      <xdr:spPr>
        <a:xfrm>
          <a:off x="4953000" y="45367575"/>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268</xdr:row>
      <xdr:rowOff>0</xdr:rowOff>
    </xdr:from>
    <xdr:to>
      <xdr:col>10</xdr:col>
      <xdr:colOff>0</xdr:colOff>
      <xdr:row>268</xdr:row>
      <xdr:rowOff>0</xdr:rowOff>
    </xdr:to>
    <xdr:sp>
      <xdr:nvSpPr>
        <xdr:cNvPr id="111" name="Line 55"/>
        <xdr:cNvSpPr>
          <a:spLocks/>
        </xdr:cNvSpPr>
      </xdr:nvSpPr>
      <xdr:spPr>
        <a:xfrm>
          <a:off x="4953000" y="45367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268</xdr:row>
      <xdr:rowOff>0</xdr:rowOff>
    </xdr:from>
    <xdr:to>
      <xdr:col>10</xdr:col>
      <xdr:colOff>0</xdr:colOff>
      <xdr:row>268</xdr:row>
      <xdr:rowOff>0</xdr:rowOff>
    </xdr:to>
    <xdr:sp>
      <xdr:nvSpPr>
        <xdr:cNvPr id="112" name="Line 56"/>
        <xdr:cNvSpPr>
          <a:spLocks/>
        </xdr:cNvSpPr>
      </xdr:nvSpPr>
      <xdr:spPr>
        <a:xfrm>
          <a:off x="4953000" y="45367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268</xdr:row>
      <xdr:rowOff>0</xdr:rowOff>
    </xdr:from>
    <xdr:to>
      <xdr:col>10</xdr:col>
      <xdr:colOff>0</xdr:colOff>
      <xdr:row>268</xdr:row>
      <xdr:rowOff>0</xdr:rowOff>
    </xdr:to>
    <xdr:sp>
      <xdr:nvSpPr>
        <xdr:cNvPr id="113" name="Line 57"/>
        <xdr:cNvSpPr>
          <a:spLocks/>
        </xdr:cNvSpPr>
      </xdr:nvSpPr>
      <xdr:spPr>
        <a:xfrm>
          <a:off x="4953000" y="45367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14" name="Line 58"/>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15" name="Line 59"/>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16" name="Line 60"/>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17" name="Line 61"/>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18" name="Line 62"/>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19" name="Line 63"/>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20" name="Line 64"/>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21" name="Line 65"/>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22" name="Line 66"/>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23" name="Line 67"/>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628650</xdr:colOff>
      <xdr:row>17</xdr:row>
      <xdr:rowOff>0</xdr:rowOff>
    </xdr:from>
    <xdr:to>
      <xdr:col>10</xdr:col>
      <xdr:colOff>628650</xdr:colOff>
      <xdr:row>17</xdr:row>
      <xdr:rowOff>0</xdr:rowOff>
    </xdr:to>
    <xdr:sp>
      <xdr:nvSpPr>
        <xdr:cNvPr id="124" name="Line 68"/>
        <xdr:cNvSpPr>
          <a:spLocks/>
        </xdr:cNvSpPr>
      </xdr:nvSpPr>
      <xdr:spPr>
        <a:xfrm>
          <a:off x="4953000" y="1933575"/>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5</xdr:col>
      <xdr:colOff>0</xdr:colOff>
      <xdr:row>10</xdr:row>
      <xdr:rowOff>0</xdr:rowOff>
    </xdr:to>
    <xdr:sp>
      <xdr:nvSpPr>
        <xdr:cNvPr id="1" name="Line 1"/>
        <xdr:cNvSpPr>
          <a:spLocks/>
        </xdr:cNvSpPr>
      </xdr:nvSpPr>
      <xdr:spPr>
        <a:xfrm>
          <a:off x="0" y="1905000"/>
          <a:ext cx="44672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 name="Line 2"/>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3" name="Line 3"/>
        <xdr:cNvSpPr>
          <a:spLocks/>
        </xdr:cNvSpPr>
      </xdr:nvSpPr>
      <xdr:spPr>
        <a:xfrm>
          <a:off x="4467225" y="19050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4" name="Line 4"/>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10</xdr:row>
      <xdr:rowOff>0</xdr:rowOff>
    </xdr:from>
    <xdr:to>
      <xdr:col>4</xdr:col>
      <xdr:colOff>0</xdr:colOff>
      <xdr:row>10</xdr:row>
      <xdr:rowOff>0</xdr:rowOff>
    </xdr:to>
    <xdr:sp>
      <xdr:nvSpPr>
        <xdr:cNvPr id="5" name="Line 5"/>
        <xdr:cNvSpPr>
          <a:spLocks/>
        </xdr:cNvSpPr>
      </xdr:nvSpPr>
      <xdr:spPr>
        <a:xfrm>
          <a:off x="4467225" y="1905000"/>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10</xdr:row>
      <xdr:rowOff>0</xdr:rowOff>
    </xdr:from>
    <xdr:to>
      <xdr:col>4</xdr:col>
      <xdr:colOff>0</xdr:colOff>
      <xdr:row>10</xdr:row>
      <xdr:rowOff>0</xdr:rowOff>
    </xdr:to>
    <xdr:sp>
      <xdr:nvSpPr>
        <xdr:cNvPr id="6" name="Line 6"/>
        <xdr:cNvSpPr>
          <a:spLocks/>
        </xdr:cNvSpPr>
      </xdr:nvSpPr>
      <xdr:spPr>
        <a:xfrm>
          <a:off x="4467225" y="19050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7" name="Line 7"/>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8" name="Line 8"/>
        <xdr:cNvSpPr>
          <a:spLocks/>
        </xdr:cNvSpPr>
      </xdr:nvSpPr>
      <xdr:spPr>
        <a:xfrm>
          <a:off x="4467225" y="19050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10</xdr:row>
      <xdr:rowOff>0</xdr:rowOff>
    </xdr:from>
    <xdr:to>
      <xdr:col>5</xdr:col>
      <xdr:colOff>0</xdr:colOff>
      <xdr:row>10</xdr:row>
      <xdr:rowOff>0</xdr:rowOff>
    </xdr:to>
    <xdr:sp>
      <xdr:nvSpPr>
        <xdr:cNvPr id="9" name="Line 9"/>
        <xdr:cNvSpPr>
          <a:spLocks/>
        </xdr:cNvSpPr>
      </xdr:nvSpPr>
      <xdr:spPr>
        <a:xfrm>
          <a:off x="590550" y="1905000"/>
          <a:ext cx="3876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85725</xdr:colOff>
      <xdr:row>10</xdr:row>
      <xdr:rowOff>0</xdr:rowOff>
    </xdr:from>
    <xdr:to>
      <xdr:col>5</xdr:col>
      <xdr:colOff>0</xdr:colOff>
      <xdr:row>10</xdr:row>
      <xdr:rowOff>0</xdr:rowOff>
    </xdr:to>
    <xdr:sp>
      <xdr:nvSpPr>
        <xdr:cNvPr id="10" name="Line 10"/>
        <xdr:cNvSpPr>
          <a:spLocks/>
        </xdr:cNvSpPr>
      </xdr:nvSpPr>
      <xdr:spPr>
        <a:xfrm>
          <a:off x="4467225" y="19050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11" name="Line 11"/>
        <xdr:cNvSpPr>
          <a:spLocks/>
        </xdr:cNvSpPr>
      </xdr:nvSpPr>
      <xdr:spPr>
        <a:xfrm>
          <a:off x="4467225" y="190500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12" name="Line 12"/>
        <xdr:cNvSpPr>
          <a:spLocks/>
        </xdr:cNvSpPr>
      </xdr:nvSpPr>
      <xdr:spPr>
        <a:xfrm>
          <a:off x="4467225" y="190500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5</xdr:col>
      <xdr:colOff>0</xdr:colOff>
      <xdr:row>10</xdr:row>
      <xdr:rowOff>0</xdr:rowOff>
    </xdr:to>
    <xdr:sp>
      <xdr:nvSpPr>
        <xdr:cNvPr id="13" name="Line 13"/>
        <xdr:cNvSpPr>
          <a:spLocks/>
        </xdr:cNvSpPr>
      </xdr:nvSpPr>
      <xdr:spPr>
        <a:xfrm>
          <a:off x="0" y="1905000"/>
          <a:ext cx="446722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5</xdr:col>
      <xdr:colOff>0</xdr:colOff>
      <xdr:row>10</xdr:row>
      <xdr:rowOff>0</xdr:rowOff>
    </xdr:to>
    <xdr:sp>
      <xdr:nvSpPr>
        <xdr:cNvPr id="14" name="Line 14"/>
        <xdr:cNvSpPr>
          <a:spLocks/>
        </xdr:cNvSpPr>
      </xdr:nvSpPr>
      <xdr:spPr>
        <a:xfrm>
          <a:off x="0" y="1905000"/>
          <a:ext cx="4467225"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15" name="Line 15"/>
        <xdr:cNvSpPr>
          <a:spLocks/>
        </xdr:cNvSpPr>
      </xdr:nvSpPr>
      <xdr:spPr>
        <a:xfrm>
          <a:off x="4467225" y="190500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16" name="Line 26"/>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17" name="Line 27"/>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18" name="Line 28"/>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19" name="Line 29"/>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0" name="Line 30"/>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1" name="Line 31"/>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2" name="Line 32"/>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3" name="Line 33"/>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4" name="Line 34"/>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5" name="Line 35"/>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6" name="Line 36"/>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5</xdr:col>
      <xdr:colOff>0</xdr:colOff>
      <xdr:row>10</xdr:row>
      <xdr:rowOff>0</xdr:rowOff>
    </xdr:to>
    <xdr:sp>
      <xdr:nvSpPr>
        <xdr:cNvPr id="27" name="Line 1"/>
        <xdr:cNvSpPr>
          <a:spLocks/>
        </xdr:cNvSpPr>
      </xdr:nvSpPr>
      <xdr:spPr>
        <a:xfrm>
          <a:off x="0" y="1905000"/>
          <a:ext cx="44672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28" name="Line 2"/>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29" name="Line 3"/>
        <xdr:cNvSpPr>
          <a:spLocks/>
        </xdr:cNvSpPr>
      </xdr:nvSpPr>
      <xdr:spPr>
        <a:xfrm>
          <a:off x="4467225" y="19050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30" name="Line 4"/>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10</xdr:row>
      <xdr:rowOff>0</xdr:rowOff>
    </xdr:from>
    <xdr:to>
      <xdr:col>4</xdr:col>
      <xdr:colOff>0</xdr:colOff>
      <xdr:row>10</xdr:row>
      <xdr:rowOff>0</xdr:rowOff>
    </xdr:to>
    <xdr:sp>
      <xdr:nvSpPr>
        <xdr:cNvPr id="31" name="Line 5"/>
        <xdr:cNvSpPr>
          <a:spLocks/>
        </xdr:cNvSpPr>
      </xdr:nvSpPr>
      <xdr:spPr>
        <a:xfrm>
          <a:off x="4467225" y="1905000"/>
          <a:ext cx="0" cy="0"/>
        </a:xfrm>
        <a:prstGeom prst="line">
          <a:avLst/>
        </a:prstGeom>
        <a:noFill/>
        <a:ln w="2730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0</xdr:colOff>
      <xdr:row>10</xdr:row>
      <xdr:rowOff>0</xdr:rowOff>
    </xdr:from>
    <xdr:to>
      <xdr:col>4</xdr:col>
      <xdr:colOff>0</xdr:colOff>
      <xdr:row>10</xdr:row>
      <xdr:rowOff>0</xdr:rowOff>
    </xdr:to>
    <xdr:sp>
      <xdr:nvSpPr>
        <xdr:cNvPr id="32" name="Line 6"/>
        <xdr:cNvSpPr>
          <a:spLocks/>
        </xdr:cNvSpPr>
      </xdr:nvSpPr>
      <xdr:spPr>
        <a:xfrm>
          <a:off x="4467225" y="19050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33" name="Line 7"/>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34" name="Line 8"/>
        <xdr:cNvSpPr>
          <a:spLocks/>
        </xdr:cNvSpPr>
      </xdr:nvSpPr>
      <xdr:spPr>
        <a:xfrm>
          <a:off x="4467225" y="19050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10</xdr:row>
      <xdr:rowOff>0</xdr:rowOff>
    </xdr:from>
    <xdr:to>
      <xdr:col>5</xdr:col>
      <xdr:colOff>0</xdr:colOff>
      <xdr:row>10</xdr:row>
      <xdr:rowOff>0</xdr:rowOff>
    </xdr:to>
    <xdr:sp>
      <xdr:nvSpPr>
        <xdr:cNvPr id="35" name="Line 9"/>
        <xdr:cNvSpPr>
          <a:spLocks/>
        </xdr:cNvSpPr>
      </xdr:nvSpPr>
      <xdr:spPr>
        <a:xfrm>
          <a:off x="590550" y="1905000"/>
          <a:ext cx="3876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85725</xdr:colOff>
      <xdr:row>10</xdr:row>
      <xdr:rowOff>0</xdr:rowOff>
    </xdr:from>
    <xdr:to>
      <xdr:col>5</xdr:col>
      <xdr:colOff>0</xdr:colOff>
      <xdr:row>10</xdr:row>
      <xdr:rowOff>0</xdr:rowOff>
    </xdr:to>
    <xdr:sp>
      <xdr:nvSpPr>
        <xdr:cNvPr id="36" name="Line 10"/>
        <xdr:cNvSpPr>
          <a:spLocks/>
        </xdr:cNvSpPr>
      </xdr:nvSpPr>
      <xdr:spPr>
        <a:xfrm>
          <a:off x="4467225" y="19050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37" name="Line 11"/>
        <xdr:cNvSpPr>
          <a:spLocks/>
        </xdr:cNvSpPr>
      </xdr:nvSpPr>
      <xdr:spPr>
        <a:xfrm>
          <a:off x="4467225" y="190500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38" name="Line 12"/>
        <xdr:cNvSpPr>
          <a:spLocks/>
        </xdr:cNvSpPr>
      </xdr:nvSpPr>
      <xdr:spPr>
        <a:xfrm>
          <a:off x="4467225" y="190500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5</xdr:col>
      <xdr:colOff>0</xdr:colOff>
      <xdr:row>10</xdr:row>
      <xdr:rowOff>0</xdr:rowOff>
    </xdr:to>
    <xdr:sp>
      <xdr:nvSpPr>
        <xdr:cNvPr id="39" name="Line 13"/>
        <xdr:cNvSpPr>
          <a:spLocks/>
        </xdr:cNvSpPr>
      </xdr:nvSpPr>
      <xdr:spPr>
        <a:xfrm>
          <a:off x="0" y="1905000"/>
          <a:ext cx="446722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5</xdr:col>
      <xdr:colOff>0</xdr:colOff>
      <xdr:row>10</xdr:row>
      <xdr:rowOff>0</xdr:rowOff>
    </xdr:to>
    <xdr:sp>
      <xdr:nvSpPr>
        <xdr:cNvPr id="40" name="Line 14"/>
        <xdr:cNvSpPr>
          <a:spLocks/>
        </xdr:cNvSpPr>
      </xdr:nvSpPr>
      <xdr:spPr>
        <a:xfrm>
          <a:off x="0" y="1905000"/>
          <a:ext cx="4467225"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10</xdr:row>
      <xdr:rowOff>0</xdr:rowOff>
    </xdr:from>
    <xdr:to>
      <xdr:col>5</xdr:col>
      <xdr:colOff>0</xdr:colOff>
      <xdr:row>10</xdr:row>
      <xdr:rowOff>0</xdr:rowOff>
    </xdr:to>
    <xdr:sp>
      <xdr:nvSpPr>
        <xdr:cNvPr id="41" name="Line 15"/>
        <xdr:cNvSpPr>
          <a:spLocks/>
        </xdr:cNvSpPr>
      </xdr:nvSpPr>
      <xdr:spPr>
        <a:xfrm>
          <a:off x="4467225" y="1905000"/>
          <a:ext cx="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42" name="Line 26"/>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43" name="Line 27"/>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44" name="Line 28"/>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45" name="Line 29"/>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46" name="Line 30"/>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47" name="Line 31"/>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48" name="Line 32"/>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49" name="Line 33"/>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50" name="Line 34"/>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51" name="Line 35"/>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628650</xdr:colOff>
      <xdr:row>10</xdr:row>
      <xdr:rowOff>0</xdr:rowOff>
    </xdr:from>
    <xdr:to>
      <xdr:col>4</xdr:col>
      <xdr:colOff>628650</xdr:colOff>
      <xdr:row>10</xdr:row>
      <xdr:rowOff>0</xdr:rowOff>
    </xdr:to>
    <xdr:sp>
      <xdr:nvSpPr>
        <xdr:cNvPr id="52" name="Line 36"/>
        <xdr:cNvSpPr>
          <a:spLocks/>
        </xdr:cNvSpPr>
      </xdr:nvSpPr>
      <xdr:spPr>
        <a:xfrm>
          <a:off x="4467225" y="190500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0</xdr:colOff>
      <xdr:row>18</xdr:row>
      <xdr:rowOff>0</xdr:rowOff>
    </xdr:to>
    <xdr:sp>
      <xdr:nvSpPr>
        <xdr:cNvPr id="1" name="Line 1"/>
        <xdr:cNvSpPr>
          <a:spLocks/>
        </xdr:cNvSpPr>
      </xdr:nvSpPr>
      <xdr:spPr>
        <a:xfrm>
          <a:off x="0" y="2105025"/>
          <a:ext cx="68484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18</xdr:row>
      <xdr:rowOff>0</xdr:rowOff>
    </xdr:from>
    <xdr:to>
      <xdr:col>5</xdr:col>
      <xdr:colOff>0</xdr:colOff>
      <xdr:row>18</xdr:row>
      <xdr:rowOff>0</xdr:rowOff>
    </xdr:to>
    <xdr:sp>
      <xdr:nvSpPr>
        <xdr:cNvPr id="2" name="Line 9"/>
        <xdr:cNvSpPr>
          <a:spLocks/>
        </xdr:cNvSpPr>
      </xdr:nvSpPr>
      <xdr:spPr>
        <a:xfrm>
          <a:off x="771525" y="2105025"/>
          <a:ext cx="60769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18</xdr:row>
      <xdr:rowOff>0</xdr:rowOff>
    </xdr:from>
    <xdr:to>
      <xdr:col>5</xdr:col>
      <xdr:colOff>0</xdr:colOff>
      <xdr:row>18</xdr:row>
      <xdr:rowOff>0</xdr:rowOff>
    </xdr:to>
    <xdr:sp>
      <xdr:nvSpPr>
        <xdr:cNvPr id="3" name="Line 13"/>
        <xdr:cNvSpPr>
          <a:spLocks/>
        </xdr:cNvSpPr>
      </xdr:nvSpPr>
      <xdr:spPr>
        <a:xfrm>
          <a:off x="0" y="2105025"/>
          <a:ext cx="684847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18</xdr:row>
      <xdr:rowOff>0</xdr:rowOff>
    </xdr:from>
    <xdr:to>
      <xdr:col>5</xdr:col>
      <xdr:colOff>0</xdr:colOff>
      <xdr:row>18</xdr:row>
      <xdr:rowOff>0</xdr:rowOff>
    </xdr:to>
    <xdr:sp>
      <xdr:nvSpPr>
        <xdr:cNvPr id="4" name="Line 14"/>
        <xdr:cNvSpPr>
          <a:spLocks/>
        </xdr:cNvSpPr>
      </xdr:nvSpPr>
      <xdr:spPr>
        <a:xfrm>
          <a:off x="0" y="2105025"/>
          <a:ext cx="6848475"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18</xdr:row>
      <xdr:rowOff>0</xdr:rowOff>
    </xdr:from>
    <xdr:to>
      <xdr:col>5</xdr:col>
      <xdr:colOff>0</xdr:colOff>
      <xdr:row>18</xdr:row>
      <xdr:rowOff>0</xdr:rowOff>
    </xdr:to>
    <xdr:sp>
      <xdr:nvSpPr>
        <xdr:cNvPr id="5" name="Line 16"/>
        <xdr:cNvSpPr>
          <a:spLocks/>
        </xdr:cNvSpPr>
      </xdr:nvSpPr>
      <xdr:spPr>
        <a:xfrm>
          <a:off x="0" y="2105025"/>
          <a:ext cx="6848475"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18</xdr:row>
      <xdr:rowOff>0</xdr:rowOff>
    </xdr:from>
    <xdr:to>
      <xdr:col>5</xdr:col>
      <xdr:colOff>0</xdr:colOff>
      <xdr:row>18</xdr:row>
      <xdr:rowOff>0</xdr:rowOff>
    </xdr:to>
    <xdr:sp>
      <xdr:nvSpPr>
        <xdr:cNvPr id="6" name="Line 17"/>
        <xdr:cNvSpPr>
          <a:spLocks/>
        </xdr:cNvSpPr>
      </xdr:nvSpPr>
      <xdr:spPr>
        <a:xfrm>
          <a:off x="0" y="2105025"/>
          <a:ext cx="68484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628650</xdr:colOff>
      <xdr:row>18</xdr:row>
      <xdr:rowOff>0</xdr:rowOff>
    </xdr:from>
    <xdr:to>
      <xdr:col>5</xdr:col>
      <xdr:colOff>0</xdr:colOff>
      <xdr:row>18</xdr:row>
      <xdr:rowOff>0</xdr:rowOff>
    </xdr:to>
    <xdr:sp>
      <xdr:nvSpPr>
        <xdr:cNvPr id="7" name="Line 19"/>
        <xdr:cNvSpPr>
          <a:spLocks/>
        </xdr:cNvSpPr>
      </xdr:nvSpPr>
      <xdr:spPr>
        <a:xfrm>
          <a:off x="628650" y="2105025"/>
          <a:ext cx="62198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4</xdr:col>
      <xdr:colOff>0</xdr:colOff>
      <xdr:row>17</xdr:row>
      <xdr:rowOff>0</xdr:rowOff>
    </xdr:to>
    <xdr:sp>
      <xdr:nvSpPr>
        <xdr:cNvPr id="1" name="Line 38"/>
        <xdr:cNvSpPr>
          <a:spLocks/>
        </xdr:cNvSpPr>
      </xdr:nvSpPr>
      <xdr:spPr>
        <a:xfrm>
          <a:off x="0" y="1800225"/>
          <a:ext cx="6629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17</xdr:row>
      <xdr:rowOff>0</xdr:rowOff>
    </xdr:from>
    <xdr:to>
      <xdr:col>4</xdr:col>
      <xdr:colOff>0</xdr:colOff>
      <xdr:row>17</xdr:row>
      <xdr:rowOff>0</xdr:rowOff>
    </xdr:to>
    <xdr:sp>
      <xdr:nvSpPr>
        <xdr:cNvPr id="2" name="Line 46"/>
        <xdr:cNvSpPr>
          <a:spLocks/>
        </xdr:cNvSpPr>
      </xdr:nvSpPr>
      <xdr:spPr>
        <a:xfrm>
          <a:off x="723900" y="1800225"/>
          <a:ext cx="5905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4</xdr:col>
      <xdr:colOff>0</xdr:colOff>
      <xdr:row>17</xdr:row>
      <xdr:rowOff>0</xdr:rowOff>
    </xdr:to>
    <xdr:sp>
      <xdr:nvSpPr>
        <xdr:cNvPr id="3" name="Line 50"/>
        <xdr:cNvSpPr>
          <a:spLocks/>
        </xdr:cNvSpPr>
      </xdr:nvSpPr>
      <xdr:spPr>
        <a:xfrm>
          <a:off x="0" y="1800225"/>
          <a:ext cx="662940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4</xdr:col>
      <xdr:colOff>0</xdr:colOff>
      <xdr:row>17</xdr:row>
      <xdr:rowOff>0</xdr:rowOff>
    </xdr:to>
    <xdr:sp>
      <xdr:nvSpPr>
        <xdr:cNvPr id="4" name="Line 51"/>
        <xdr:cNvSpPr>
          <a:spLocks/>
        </xdr:cNvSpPr>
      </xdr:nvSpPr>
      <xdr:spPr>
        <a:xfrm>
          <a:off x="0" y="1800225"/>
          <a:ext cx="662940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4</xdr:col>
      <xdr:colOff>0</xdr:colOff>
      <xdr:row>17</xdr:row>
      <xdr:rowOff>0</xdr:rowOff>
    </xdr:to>
    <xdr:sp>
      <xdr:nvSpPr>
        <xdr:cNvPr id="5" name="Line 53"/>
        <xdr:cNvSpPr>
          <a:spLocks/>
        </xdr:cNvSpPr>
      </xdr:nvSpPr>
      <xdr:spPr>
        <a:xfrm>
          <a:off x="0" y="1800225"/>
          <a:ext cx="6629400"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581025</xdr:colOff>
      <xdr:row>17</xdr:row>
      <xdr:rowOff>0</xdr:rowOff>
    </xdr:from>
    <xdr:to>
      <xdr:col>4</xdr:col>
      <xdr:colOff>0</xdr:colOff>
      <xdr:row>17</xdr:row>
      <xdr:rowOff>0</xdr:rowOff>
    </xdr:to>
    <xdr:sp>
      <xdr:nvSpPr>
        <xdr:cNvPr id="6" name="Line 56"/>
        <xdr:cNvSpPr>
          <a:spLocks/>
        </xdr:cNvSpPr>
      </xdr:nvSpPr>
      <xdr:spPr>
        <a:xfrm>
          <a:off x="581025" y="1800225"/>
          <a:ext cx="6048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4</xdr:col>
      <xdr:colOff>0</xdr:colOff>
      <xdr:row>17</xdr:row>
      <xdr:rowOff>0</xdr:rowOff>
    </xdr:to>
    <xdr:sp>
      <xdr:nvSpPr>
        <xdr:cNvPr id="7" name="Line 38"/>
        <xdr:cNvSpPr>
          <a:spLocks/>
        </xdr:cNvSpPr>
      </xdr:nvSpPr>
      <xdr:spPr>
        <a:xfrm>
          <a:off x="0" y="1800225"/>
          <a:ext cx="6629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17</xdr:row>
      <xdr:rowOff>0</xdr:rowOff>
    </xdr:from>
    <xdr:to>
      <xdr:col>4</xdr:col>
      <xdr:colOff>0</xdr:colOff>
      <xdr:row>17</xdr:row>
      <xdr:rowOff>0</xdr:rowOff>
    </xdr:to>
    <xdr:sp>
      <xdr:nvSpPr>
        <xdr:cNvPr id="8" name="Line 46"/>
        <xdr:cNvSpPr>
          <a:spLocks/>
        </xdr:cNvSpPr>
      </xdr:nvSpPr>
      <xdr:spPr>
        <a:xfrm>
          <a:off x="723900" y="1800225"/>
          <a:ext cx="5905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4</xdr:col>
      <xdr:colOff>0</xdr:colOff>
      <xdr:row>17</xdr:row>
      <xdr:rowOff>0</xdr:rowOff>
    </xdr:to>
    <xdr:sp>
      <xdr:nvSpPr>
        <xdr:cNvPr id="9" name="Line 50"/>
        <xdr:cNvSpPr>
          <a:spLocks/>
        </xdr:cNvSpPr>
      </xdr:nvSpPr>
      <xdr:spPr>
        <a:xfrm>
          <a:off x="0" y="1800225"/>
          <a:ext cx="6629400"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4</xdr:col>
      <xdr:colOff>0</xdr:colOff>
      <xdr:row>17</xdr:row>
      <xdr:rowOff>0</xdr:rowOff>
    </xdr:to>
    <xdr:sp>
      <xdr:nvSpPr>
        <xdr:cNvPr id="10" name="Line 51"/>
        <xdr:cNvSpPr>
          <a:spLocks/>
        </xdr:cNvSpPr>
      </xdr:nvSpPr>
      <xdr:spPr>
        <a:xfrm>
          <a:off x="0" y="1800225"/>
          <a:ext cx="6629400" cy="0"/>
        </a:xfrm>
        <a:prstGeom prst="line">
          <a:avLst/>
        </a:prstGeom>
        <a:noFill/>
        <a:ln w="1206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17</xdr:row>
      <xdr:rowOff>0</xdr:rowOff>
    </xdr:from>
    <xdr:to>
      <xdr:col>4</xdr:col>
      <xdr:colOff>0</xdr:colOff>
      <xdr:row>17</xdr:row>
      <xdr:rowOff>0</xdr:rowOff>
    </xdr:to>
    <xdr:sp>
      <xdr:nvSpPr>
        <xdr:cNvPr id="11" name="Line 53"/>
        <xdr:cNvSpPr>
          <a:spLocks/>
        </xdr:cNvSpPr>
      </xdr:nvSpPr>
      <xdr:spPr>
        <a:xfrm>
          <a:off x="0" y="1800225"/>
          <a:ext cx="6629400"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581025</xdr:colOff>
      <xdr:row>17</xdr:row>
      <xdr:rowOff>0</xdr:rowOff>
    </xdr:from>
    <xdr:to>
      <xdr:col>4</xdr:col>
      <xdr:colOff>0</xdr:colOff>
      <xdr:row>17</xdr:row>
      <xdr:rowOff>0</xdr:rowOff>
    </xdr:to>
    <xdr:sp>
      <xdr:nvSpPr>
        <xdr:cNvPr id="12" name="Line 56"/>
        <xdr:cNvSpPr>
          <a:spLocks/>
        </xdr:cNvSpPr>
      </xdr:nvSpPr>
      <xdr:spPr>
        <a:xfrm>
          <a:off x="581025" y="1800225"/>
          <a:ext cx="6048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4</xdr:col>
      <xdr:colOff>0</xdr:colOff>
      <xdr:row>9</xdr:row>
      <xdr:rowOff>0</xdr:rowOff>
    </xdr:to>
    <xdr:sp>
      <xdr:nvSpPr>
        <xdr:cNvPr id="1" name="Line 1"/>
        <xdr:cNvSpPr>
          <a:spLocks/>
        </xdr:cNvSpPr>
      </xdr:nvSpPr>
      <xdr:spPr>
        <a:xfrm>
          <a:off x="0" y="1628775"/>
          <a:ext cx="64293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9</xdr:row>
      <xdr:rowOff>0</xdr:rowOff>
    </xdr:from>
    <xdr:to>
      <xdr:col>4</xdr:col>
      <xdr:colOff>0</xdr:colOff>
      <xdr:row>9</xdr:row>
      <xdr:rowOff>0</xdr:rowOff>
    </xdr:to>
    <xdr:sp>
      <xdr:nvSpPr>
        <xdr:cNvPr id="2" name="Line 9"/>
        <xdr:cNvSpPr>
          <a:spLocks/>
        </xdr:cNvSpPr>
      </xdr:nvSpPr>
      <xdr:spPr>
        <a:xfrm>
          <a:off x="742950" y="1628775"/>
          <a:ext cx="56864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9</xdr:row>
      <xdr:rowOff>0</xdr:rowOff>
    </xdr:from>
    <xdr:to>
      <xdr:col>4</xdr:col>
      <xdr:colOff>0</xdr:colOff>
      <xdr:row>9</xdr:row>
      <xdr:rowOff>0</xdr:rowOff>
    </xdr:to>
    <xdr:sp>
      <xdr:nvSpPr>
        <xdr:cNvPr id="3" name="Line 13"/>
        <xdr:cNvSpPr>
          <a:spLocks/>
        </xdr:cNvSpPr>
      </xdr:nvSpPr>
      <xdr:spPr>
        <a:xfrm>
          <a:off x="0" y="1628775"/>
          <a:ext cx="642937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9</xdr:row>
      <xdr:rowOff>0</xdr:rowOff>
    </xdr:from>
    <xdr:to>
      <xdr:col>4</xdr:col>
      <xdr:colOff>0</xdr:colOff>
      <xdr:row>9</xdr:row>
      <xdr:rowOff>0</xdr:rowOff>
    </xdr:to>
    <xdr:sp>
      <xdr:nvSpPr>
        <xdr:cNvPr id="4" name="Line 14"/>
        <xdr:cNvSpPr>
          <a:spLocks/>
        </xdr:cNvSpPr>
      </xdr:nvSpPr>
      <xdr:spPr>
        <a:xfrm>
          <a:off x="0" y="1628775"/>
          <a:ext cx="6429375" cy="0"/>
        </a:xfrm>
        <a:prstGeom prst="line">
          <a:avLst/>
        </a:prstGeom>
        <a:noFill/>
        <a:ln w="1206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9</xdr:row>
      <xdr:rowOff>0</xdr:rowOff>
    </xdr:from>
    <xdr:to>
      <xdr:col>4</xdr:col>
      <xdr:colOff>0</xdr:colOff>
      <xdr:row>9</xdr:row>
      <xdr:rowOff>0</xdr:rowOff>
    </xdr:to>
    <xdr:sp>
      <xdr:nvSpPr>
        <xdr:cNvPr id="5" name="Line 16"/>
        <xdr:cNvSpPr>
          <a:spLocks/>
        </xdr:cNvSpPr>
      </xdr:nvSpPr>
      <xdr:spPr>
        <a:xfrm>
          <a:off x="0" y="1628775"/>
          <a:ext cx="6429375"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9</xdr:row>
      <xdr:rowOff>0</xdr:rowOff>
    </xdr:from>
    <xdr:to>
      <xdr:col>4</xdr:col>
      <xdr:colOff>0</xdr:colOff>
      <xdr:row>9</xdr:row>
      <xdr:rowOff>0</xdr:rowOff>
    </xdr:to>
    <xdr:sp>
      <xdr:nvSpPr>
        <xdr:cNvPr id="6" name="Line 17"/>
        <xdr:cNvSpPr>
          <a:spLocks/>
        </xdr:cNvSpPr>
      </xdr:nvSpPr>
      <xdr:spPr>
        <a:xfrm>
          <a:off x="0" y="1628775"/>
          <a:ext cx="6429375"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600075</xdr:colOff>
      <xdr:row>9</xdr:row>
      <xdr:rowOff>0</xdr:rowOff>
    </xdr:from>
    <xdr:to>
      <xdr:col>4</xdr:col>
      <xdr:colOff>0</xdr:colOff>
      <xdr:row>9</xdr:row>
      <xdr:rowOff>0</xdr:rowOff>
    </xdr:to>
    <xdr:sp>
      <xdr:nvSpPr>
        <xdr:cNvPr id="7" name="Line 19"/>
        <xdr:cNvSpPr>
          <a:spLocks/>
        </xdr:cNvSpPr>
      </xdr:nvSpPr>
      <xdr:spPr>
        <a:xfrm>
          <a:off x="600075" y="1628775"/>
          <a:ext cx="5829300"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67</xdr:row>
      <xdr:rowOff>0</xdr:rowOff>
    </xdr:from>
    <xdr:to>
      <xdr:col>4</xdr:col>
      <xdr:colOff>0</xdr:colOff>
      <xdr:row>67</xdr:row>
      <xdr:rowOff>0</xdr:rowOff>
    </xdr:to>
    <xdr:sp>
      <xdr:nvSpPr>
        <xdr:cNvPr id="8" name="Line 240"/>
        <xdr:cNvSpPr>
          <a:spLocks/>
        </xdr:cNvSpPr>
      </xdr:nvSpPr>
      <xdr:spPr>
        <a:xfrm>
          <a:off x="0" y="19964400"/>
          <a:ext cx="642937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67</xdr:row>
      <xdr:rowOff>0</xdr:rowOff>
    </xdr:from>
    <xdr:to>
      <xdr:col>4</xdr:col>
      <xdr:colOff>0</xdr:colOff>
      <xdr:row>67</xdr:row>
      <xdr:rowOff>0</xdr:rowOff>
    </xdr:to>
    <xdr:sp>
      <xdr:nvSpPr>
        <xdr:cNvPr id="9" name="Line 240"/>
        <xdr:cNvSpPr>
          <a:spLocks/>
        </xdr:cNvSpPr>
      </xdr:nvSpPr>
      <xdr:spPr>
        <a:xfrm>
          <a:off x="0" y="19964400"/>
          <a:ext cx="642937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67</xdr:row>
      <xdr:rowOff>0</xdr:rowOff>
    </xdr:from>
    <xdr:to>
      <xdr:col>4</xdr:col>
      <xdr:colOff>0</xdr:colOff>
      <xdr:row>67</xdr:row>
      <xdr:rowOff>0</xdr:rowOff>
    </xdr:to>
    <xdr:sp>
      <xdr:nvSpPr>
        <xdr:cNvPr id="10" name="Line 240"/>
        <xdr:cNvSpPr>
          <a:spLocks/>
        </xdr:cNvSpPr>
      </xdr:nvSpPr>
      <xdr:spPr>
        <a:xfrm>
          <a:off x="0" y="19964400"/>
          <a:ext cx="642937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4</xdr:col>
      <xdr:colOff>0</xdr:colOff>
      <xdr:row>10</xdr:row>
      <xdr:rowOff>0</xdr:rowOff>
    </xdr:to>
    <xdr:sp>
      <xdr:nvSpPr>
        <xdr:cNvPr id="11" name="Line 1"/>
        <xdr:cNvSpPr>
          <a:spLocks/>
        </xdr:cNvSpPr>
      </xdr:nvSpPr>
      <xdr:spPr>
        <a:xfrm>
          <a:off x="0" y="1962150"/>
          <a:ext cx="64293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10</xdr:row>
      <xdr:rowOff>0</xdr:rowOff>
    </xdr:from>
    <xdr:to>
      <xdr:col>4</xdr:col>
      <xdr:colOff>0</xdr:colOff>
      <xdr:row>10</xdr:row>
      <xdr:rowOff>0</xdr:rowOff>
    </xdr:to>
    <xdr:sp>
      <xdr:nvSpPr>
        <xdr:cNvPr id="12" name="Line 9"/>
        <xdr:cNvSpPr>
          <a:spLocks/>
        </xdr:cNvSpPr>
      </xdr:nvSpPr>
      <xdr:spPr>
        <a:xfrm>
          <a:off x="742950" y="1962150"/>
          <a:ext cx="56864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4</xdr:col>
      <xdr:colOff>0</xdr:colOff>
      <xdr:row>10</xdr:row>
      <xdr:rowOff>0</xdr:rowOff>
    </xdr:to>
    <xdr:sp>
      <xdr:nvSpPr>
        <xdr:cNvPr id="13" name="Line 13"/>
        <xdr:cNvSpPr>
          <a:spLocks/>
        </xdr:cNvSpPr>
      </xdr:nvSpPr>
      <xdr:spPr>
        <a:xfrm>
          <a:off x="0" y="1962150"/>
          <a:ext cx="642937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4</xdr:col>
      <xdr:colOff>0</xdr:colOff>
      <xdr:row>10</xdr:row>
      <xdr:rowOff>0</xdr:rowOff>
    </xdr:to>
    <xdr:sp>
      <xdr:nvSpPr>
        <xdr:cNvPr id="14" name="Line 14"/>
        <xdr:cNvSpPr>
          <a:spLocks/>
        </xdr:cNvSpPr>
      </xdr:nvSpPr>
      <xdr:spPr>
        <a:xfrm>
          <a:off x="0" y="1962150"/>
          <a:ext cx="6429375" cy="0"/>
        </a:xfrm>
        <a:prstGeom prst="line">
          <a:avLst/>
        </a:prstGeom>
        <a:noFill/>
        <a:ln w="1206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4</xdr:col>
      <xdr:colOff>0</xdr:colOff>
      <xdr:row>10</xdr:row>
      <xdr:rowOff>0</xdr:rowOff>
    </xdr:to>
    <xdr:sp>
      <xdr:nvSpPr>
        <xdr:cNvPr id="15" name="Line 16"/>
        <xdr:cNvSpPr>
          <a:spLocks/>
        </xdr:cNvSpPr>
      </xdr:nvSpPr>
      <xdr:spPr>
        <a:xfrm>
          <a:off x="0" y="1962150"/>
          <a:ext cx="6429375" cy="0"/>
        </a:xfrm>
        <a:prstGeom prst="line">
          <a:avLst/>
        </a:prstGeom>
        <a:noFill/>
        <a:ln w="1524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10</xdr:row>
      <xdr:rowOff>0</xdr:rowOff>
    </xdr:from>
    <xdr:to>
      <xdr:col>4</xdr:col>
      <xdr:colOff>0</xdr:colOff>
      <xdr:row>10</xdr:row>
      <xdr:rowOff>0</xdr:rowOff>
    </xdr:to>
    <xdr:sp>
      <xdr:nvSpPr>
        <xdr:cNvPr id="16" name="Line 17"/>
        <xdr:cNvSpPr>
          <a:spLocks/>
        </xdr:cNvSpPr>
      </xdr:nvSpPr>
      <xdr:spPr>
        <a:xfrm>
          <a:off x="0" y="1962150"/>
          <a:ext cx="6429375"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600075</xdr:colOff>
      <xdr:row>10</xdr:row>
      <xdr:rowOff>0</xdr:rowOff>
    </xdr:from>
    <xdr:to>
      <xdr:col>4</xdr:col>
      <xdr:colOff>0</xdr:colOff>
      <xdr:row>10</xdr:row>
      <xdr:rowOff>0</xdr:rowOff>
    </xdr:to>
    <xdr:sp>
      <xdr:nvSpPr>
        <xdr:cNvPr id="17" name="Line 19"/>
        <xdr:cNvSpPr>
          <a:spLocks/>
        </xdr:cNvSpPr>
      </xdr:nvSpPr>
      <xdr:spPr>
        <a:xfrm>
          <a:off x="600075" y="1962150"/>
          <a:ext cx="5829300"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68</xdr:row>
      <xdr:rowOff>0</xdr:rowOff>
    </xdr:from>
    <xdr:to>
      <xdr:col>4</xdr:col>
      <xdr:colOff>0</xdr:colOff>
      <xdr:row>68</xdr:row>
      <xdr:rowOff>0</xdr:rowOff>
    </xdr:to>
    <xdr:sp>
      <xdr:nvSpPr>
        <xdr:cNvPr id="18" name="Line 240"/>
        <xdr:cNvSpPr>
          <a:spLocks/>
        </xdr:cNvSpPr>
      </xdr:nvSpPr>
      <xdr:spPr>
        <a:xfrm>
          <a:off x="0" y="20202525"/>
          <a:ext cx="642937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68</xdr:row>
      <xdr:rowOff>0</xdr:rowOff>
    </xdr:from>
    <xdr:to>
      <xdr:col>4</xdr:col>
      <xdr:colOff>0</xdr:colOff>
      <xdr:row>68</xdr:row>
      <xdr:rowOff>0</xdr:rowOff>
    </xdr:to>
    <xdr:sp>
      <xdr:nvSpPr>
        <xdr:cNvPr id="19" name="Line 240"/>
        <xdr:cNvSpPr>
          <a:spLocks/>
        </xdr:cNvSpPr>
      </xdr:nvSpPr>
      <xdr:spPr>
        <a:xfrm>
          <a:off x="0" y="20202525"/>
          <a:ext cx="6429375" cy="0"/>
        </a:xfrm>
        <a:prstGeom prst="line">
          <a:avLst/>
        </a:prstGeom>
        <a:noFill/>
        <a:ln w="889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140</xdr:col>
      <xdr:colOff>152400</xdr:colOff>
      <xdr:row>16</xdr:row>
      <xdr:rowOff>9525</xdr:rowOff>
    </xdr:from>
    <xdr:to>
      <xdr:col>147</xdr:col>
      <xdr:colOff>400050</xdr:colOff>
      <xdr:row>16</xdr:row>
      <xdr:rowOff>9525</xdr:rowOff>
    </xdr:to>
    <xdr:sp>
      <xdr:nvSpPr>
        <xdr:cNvPr id="1" name="Line 1"/>
        <xdr:cNvSpPr>
          <a:spLocks/>
        </xdr:cNvSpPr>
      </xdr:nvSpPr>
      <xdr:spPr>
        <a:xfrm>
          <a:off x="100098225" y="1590675"/>
          <a:ext cx="50482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142875</xdr:colOff>
      <xdr:row>18</xdr:row>
      <xdr:rowOff>0</xdr:rowOff>
    </xdr:from>
    <xdr:to>
      <xdr:col>4</xdr:col>
      <xdr:colOff>0</xdr:colOff>
      <xdr:row>18</xdr:row>
      <xdr:rowOff>0</xdr:rowOff>
    </xdr:to>
    <xdr:sp>
      <xdr:nvSpPr>
        <xdr:cNvPr id="2" name="Line 9"/>
        <xdr:cNvSpPr>
          <a:spLocks/>
        </xdr:cNvSpPr>
      </xdr:nvSpPr>
      <xdr:spPr>
        <a:xfrm>
          <a:off x="723900" y="2066925"/>
          <a:ext cx="5705475" cy="0"/>
        </a:xfrm>
        <a:prstGeom prst="line">
          <a:avLst/>
        </a:prstGeom>
        <a:noFill/>
        <a:ln w="317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18</xdr:row>
      <xdr:rowOff>0</xdr:rowOff>
    </xdr:from>
    <xdr:to>
      <xdr:col>4</xdr:col>
      <xdr:colOff>0</xdr:colOff>
      <xdr:row>18</xdr:row>
      <xdr:rowOff>0</xdr:rowOff>
    </xdr:to>
    <xdr:sp>
      <xdr:nvSpPr>
        <xdr:cNvPr id="3" name="Line 13"/>
        <xdr:cNvSpPr>
          <a:spLocks/>
        </xdr:cNvSpPr>
      </xdr:nvSpPr>
      <xdr:spPr>
        <a:xfrm>
          <a:off x="0" y="2066925"/>
          <a:ext cx="6429375" cy="0"/>
        </a:xfrm>
        <a:prstGeom prst="line">
          <a:avLst/>
        </a:prstGeom>
        <a:noFill/>
        <a:ln w="889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18</xdr:row>
      <xdr:rowOff>0</xdr:rowOff>
    </xdr:from>
    <xdr:to>
      <xdr:col>4</xdr:col>
      <xdr:colOff>0</xdr:colOff>
      <xdr:row>18</xdr:row>
      <xdr:rowOff>0</xdr:rowOff>
    </xdr:to>
    <xdr:sp>
      <xdr:nvSpPr>
        <xdr:cNvPr id="4" name="Line 14"/>
        <xdr:cNvSpPr>
          <a:spLocks/>
        </xdr:cNvSpPr>
      </xdr:nvSpPr>
      <xdr:spPr>
        <a:xfrm>
          <a:off x="0" y="2066925"/>
          <a:ext cx="6429375" cy="0"/>
        </a:xfrm>
        <a:prstGeom prst="line">
          <a:avLst/>
        </a:prstGeom>
        <a:noFill/>
        <a:ln w="1206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18</xdr:row>
      <xdr:rowOff>0</xdr:rowOff>
    </xdr:from>
    <xdr:to>
      <xdr:col>4</xdr:col>
      <xdr:colOff>0</xdr:colOff>
      <xdr:row>18</xdr:row>
      <xdr:rowOff>0</xdr:rowOff>
    </xdr:to>
    <xdr:sp>
      <xdr:nvSpPr>
        <xdr:cNvPr id="5" name="Line 16"/>
        <xdr:cNvSpPr>
          <a:spLocks/>
        </xdr:cNvSpPr>
      </xdr:nvSpPr>
      <xdr:spPr>
        <a:xfrm>
          <a:off x="0" y="2066925"/>
          <a:ext cx="6429375" cy="0"/>
        </a:xfrm>
        <a:prstGeom prst="line">
          <a:avLst/>
        </a:prstGeom>
        <a:noFill/>
        <a:ln w="1524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18</xdr:row>
      <xdr:rowOff>0</xdr:rowOff>
    </xdr:from>
    <xdr:to>
      <xdr:col>4</xdr:col>
      <xdr:colOff>0</xdr:colOff>
      <xdr:row>18</xdr:row>
      <xdr:rowOff>0</xdr:rowOff>
    </xdr:to>
    <xdr:sp>
      <xdr:nvSpPr>
        <xdr:cNvPr id="6" name="Line 17"/>
        <xdr:cNvSpPr>
          <a:spLocks/>
        </xdr:cNvSpPr>
      </xdr:nvSpPr>
      <xdr:spPr>
        <a:xfrm>
          <a:off x="0" y="2066925"/>
          <a:ext cx="6429375"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581025</xdr:colOff>
      <xdr:row>18</xdr:row>
      <xdr:rowOff>0</xdr:rowOff>
    </xdr:from>
    <xdr:to>
      <xdr:col>4</xdr:col>
      <xdr:colOff>0</xdr:colOff>
      <xdr:row>18</xdr:row>
      <xdr:rowOff>0</xdr:rowOff>
    </xdr:to>
    <xdr:sp>
      <xdr:nvSpPr>
        <xdr:cNvPr id="7" name="Line 19"/>
        <xdr:cNvSpPr>
          <a:spLocks/>
        </xdr:cNvSpPr>
      </xdr:nvSpPr>
      <xdr:spPr>
        <a:xfrm>
          <a:off x="581025" y="2066925"/>
          <a:ext cx="5848350" cy="0"/>
        </a:xfrm>
        <a:prstGeom prst="line">
          <a:avLst/>
        </a:prstGeom>
        <a:noFill/>
        <a:ln w="6350"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88"/>
  <sheetViews>
    <sheetView zoomScalePageLayoutView="0" workbookViewId="0" topLeftCell="A76">
      <selection activeCell="A88" sqref="A88:IV88"/>
    </sheetView>
  </sheetViews>
  <sheetFormatPr defaultColWidth="9.00390625" defaultRowHeight="12.75"/>
  <cols>
    <col min="1" max="1" width="5.75390625" style="111" customWidth="1"/>
    <col min="2" max="2" width="49.00390625" style="0" customWidth="1"/>
    <col min="3" max="3" width="10.875" style="0" customWidth="1"/>
    <col min="4" max="4" width="12.00390625" style="364" customWidth="1"/>
    <col min="5" max="5" width="13.625" style="0" customWidth="1"/>
    <col min="6" max="14" width="9.125" style="0" customWidth="1"/>
  </cols>
  <sheetData>
    <row r="1" spans="4:5" ht="12.75">
      <c r="D1" s="389"/>
      <c r="E1" s="4" t="s">
        <v>3017</v>
      </c>
    </row>
    <row r="2" spans="4:5" ht="12.75">
      <c r="D2" s="390"/>
      <c r="E2" s="81" t="s">
        <v>2822</v>
      </c>
    </row>
    <row r="3" spans="4:5" ht="12.75">
      <c r="D3" s="391"/>
      <c r="E3" s="81" t="s">
        <v>3556</v>
      </c>
    </row>
    <row r="4" spans="4:5" ht="12.75">
      <c r="D4" s="390"/>
      <c r="E4" s="81"/>
    </row>
    <row r="5" spans="4:5" ht="12.75">
      <c r="D5" s="390"/>
      <c r="E5" s="81"/>
    </row>
    <row r="6" spans="1:5" ht="15">
      <c r="A6" s="892" t="s">
        <v>3551</v>
      </c>
      <c r="B6" s="892"/>
      <c r="C6" s="892"/>
      <c r="D6" s="892"/>
      <c r="E6" s="892"/>
    </row>
    <row r="7" spans="1:5" ht="15">
      <c r="A7" s="892" t="s">
        <v>783</v>
      </c>
      <c r="B7" s="892"/>
      <c r="C7" s="892"/>
      <c r="D7" s="892"/>
      <c r="E7" s="892"/>
    </row>
    <row r="8" spans="1:5" ht="15">
      <c r="A8" s="893" t="s">
        <v>2823</v>
      </c>
      <c r="B8" s="893"/>
      <c r="C8" s="893"/>
      <c r="D8" s="893"/>
      <c r="E8" s="893"/>
    </row>
    <row r="9" spans="1:5" ht="14.25">
      <c r="A9" s="894" t="s">
        <v>3552</v>
      </c>
      <c r="B9" s="894"/>
      <c r="C9" s="894"/>
      <c r="D9" s="894"/>
      <c r="E9" s="894"/>
    </row>
    <row r="10" spans="1:5" s="385" customFormat="1" ht="25.5" customHeight="1">
      <c r="A10" s="535" t="s">
        <v>1483</v>
      </c>
      <c r="B10" s="535" t="s">
        <v>779</v>
      </c>
      <c r="C10" s="535" t="s">
        <v>1484</v>
      </c>
      <c r="D10" s="536" t="s">
        <v>781</v>
      </c>
      <c r="E10" s="536" t="s">
        <v>782</v>
      </c>
    </row>
    <row r="11" spans="1:5" ht="15">
      <c r="A11" s="537">
        <v>1</v>
      </c>
      <c r="B11" s="537">
        <v>2</v>
      </c>
      <c r="C11" s="538">
        <v>3</v>
      </c>
      <c r="D11" s="539">
        <v>4</v>
      </c>
      <c r="E11" s="539">
        <v>5</v>
      </c>
    </row>
    <row r="12" spans="1:5" ht="16.5" customHeight="1">
      <c r="A12" s="540">
        <v>1</v>
      </c>
      <c r="B12" s="895" t="s">
        <v>2673</v>
      </c>
      <c r="C12" s="895"/>
      <c r="D12" s="895"/>
      <c r="E12" s="895"/>
    </row>
    <row r="13" spans="1:5" s="111" customFormat="1" ht="12.75">
      <c r="A13" s="540" t="s">
        <v>2963</v>
      </c>
      <c r="B13" s="884" t="s">
        <v>1964</v>
      </c>
      <c r="C13" s="884"/>
      <c r="D13" s="884"/>
      <c r="E13" s="884"/>
    </row>
    <row r="14" spans="1:5" ht="12.75">
      <c r="A14" s="541" t="s">
        <v>1965</v>
      </c>
      <c r="B14" s="541" t="s">
        <v>1377</v>
      </c>
      <c r="C14" s="890"/>
      <c r="D14" s="392">
        <f>1110.85*1.1*1.1</f>
        <v>1344.1285</v>
      </c>
      <c r="E14" s="542">
        <f>D14*1.18</f>
        <v>1586.07163</v>
      </c>
    </row>
    <row r="15" spans="1:5" ht="12.75">
      <c r="A15" s="541" t="s">
        <v>1966</v>
      </c>
      <c r="B15" s="541" t="s">
        <v>2293</v>
      </c>
      <c r="C15" s="890"/>
      <c r="D15" s="392">
        <f>1444.1*1.1*1.1</f>
        <v>1747.361</v>
      </c>
      <c r="E15" s="542">
        <f>D15*1.18</f>
        <v>2061.88598</v>
      </c>
    </row>
    <row r="16" spans="1:5" ht="12.75">
      <c r="A16" s="541" t="s">
        <v>2964</v>
      </c>
      <c r="B16" s="541" t="s">
        <v>2294</v>
      </c>
      <c r="C16" s="891"/>
      <c r="D16" s="392">
        <f>1666.27*1.1*1.1</f>
        <v>2016.1867000000004</v>
      </c>
      <c r="E16" s="542">
        <f>D16*1.18</f>
        <v>2379.1003060000003</v>
      </c>
    </row>
    <row r="17" spans="1:5" ht="12.75">
      <c r="A17" s="541" t="s">
        <v>2965</v>
      </c>
      <c r="B17" s="541" t="s">
        <v>828</v>
      </c>
      <c r="C17" s="891"/>
      <c r="D17" s="392">
        <f>1666.27*1.1*1.1</f>
        <v>2016.1867000000004</v>
      </c>
      <c r="E17" s="542">
        <f>D17*1.18</f>
        <v>2379.1003060000003</v>
      </c>
    </row>
    <row r="18" spans="1:5" s="111" customFormat="1" ht="12.75">
      <c r="A18" s="543" t="s">
        <v>2970</v>
      </c>
      <c r="B18" s="888" t="s">
        <v>829</v>
      </c>
      <c r="C18" s="888"/>
      <c r="D18" s="888"/>
      <c r="E18" s="888"/>
    </row>
    <row r="19" spans="1:5" ht="12.75">
      <c r="A19" s="544" t="s">
        <v>2971</v>
      </c>
      <c r="B19" s="326" t="s">
        <v>1150</v>
      </c>
      <c r="C19" s="887"/>
      <c r="D19" s="392">
        <f>1110.85*1.1*1.1</f>
        <v>1344.1285</v>
      </c>
      <c r="E19" s="542">
        <f>D19*1.18</f>
        <v>1586.07163</v>
      </c>
    </row>
    <row r="20" spans="1:5" ht="12.75">
      <c r="A20" s="544" t="s">
        <v>2972</v>
      </c>
      <c r="B20" s="326" t="s">
        <v>1151</v>
      </c>
      <c r="C20" s="887"/>
      <c r="D20" s="392">
        <f>1444.1*1.1*1.1</f>
        <v>1747.361</v>
      </c>
      <c r="E20" s="542">
        <f>D20*1.18</f>
        <v>2061.88598</v>
      </c>
    </row>
    <row r="21" spans="1:5" ht="22.5" customHeight="1">
      <c r="A21" s="544" t="s">
        <v>2973</v>
      </c>
      <c r="B21" s="326" t="s">
        <v>1152</v>
      </c>
      <c r="C21" s="889"/>
      <c r="D21" s="392">
        <f>1666.27*1.1*1.1</f>
        <v>2016.1867000000004</v>
      </c>
      <c r="E21" s="542">
        <f>D21*1.18</f>
        <v>2379.1003060000003</v>
      </c>
    </row>
    <row r="22" spans="1:5" s="111" customFormat="1" ht="12.75">
      <c r="A22" s="28" t="s">
        <v>2974</v>
      </c>
      <c r="B22" s="884" t="s">
        <v>830</v>
      </c>
      <c r="C22" s="884"/>
      <c r="D22" s="884"/>
      <c r="E22" s="884"/>
    </row>
    <row r="23" spans="1:5" ht="38.25">
      <c r="A23" s="255" t="s">
        <v>2975</v>
      </c>
      <c r="B23" s="326" t="s">
        <v>1153</v>
      </c>
      <c r="C23" s="881"/>
      <c r="D23" s="392">
        <f>1666.27*1.1*1.1</f>
        <v>2016.1867000000004</v>
      </c>
      <c r="E23" s="542">
        <f>D23*1.18</f>
        <v>2379.1003060000003</v>
      </c>
    </row>
    <row r="24" spans="1:5" ht="25.5">
      <c r="A24" s="255" t="s">
        <v>2976</v>
      </c>
      <c r="B24" s="326" t="s">
        <v>2289</v>
      </c>
      <c r="C24" s="882"/>
      <c r="D24" s="392">
        <f>2221.69*1.1*1.1</f>
        <v>2688.2449000000006</v>
      </c>
      <c r="E24" s="542">
        <f>D24*1.18</f>
        <v>3172.1289820000006</v>
      </c>
    </row>
    <row r="25" spans="1:5" ht="12.75">
      <c r="A25" s="255" t="s">
        <v>2977</v>
      </c>
      <c r="B25" s="326" t="s">
        <v>831</v>
      </c>
      <c r="C25" s="882"/>
      <c r="D25" s="392">
        <f>1666.27*1.1*1.1</f>
        <v>2016.1867000000004</v>
      </c>
      <c r="E25" s="542">
        <f aca="true" t="shared" si="0" ref="E25:E35">D25*1.18</f>
        <v>2379.1003060000003</v>
      </c>
    </row>
    <row r="26" spans="1:5" ht="12.75">
      <c r="A26" s="255" t="s">
        <v>2978</v>
      </c>
      <c r="B26" s="326" t="s">
        <v>1967</v>
      </c>
      <c r="C26" s="882"/>
      <c r="D26" s="392">
        <f>2221.69*1.1*1.1</f>
        <v>2688.2449000000006</v>
      </c>
      <c r="E26" s="542">
        <f t="shared" si="0"/>
        <v>3172.1289820000006</v>
      </c>
    </row>
    <row r="27" spans="1:5" ht="12.75">
      <c r="A27" s="255" t="s">
        <v>2979</v>
      </c>
      <c r="B27" s="326" t="s">
        <v>2290</v>
      </c>
      <c r="C27" s="882"/>
      <c r="D27" s="392">
        <f>2221.69*1.1*1.1</f>
        <v>2688.2449000000006</v>
      </c>
      <c r="E27" s="542">
        <f t="shared" si="0"/>
        <v>3172.1289820000006</v>
      </c>
    </row>
    <row r="28" spans="1:5" ht="12.75">
      <c r="A28" s="255" t="s">
        <v>2980</v>
      </c>
      <c r="B28" s="326" t="s">
        <v>2291</v>
      </c>
      <c r="C28" s="882"/>
      <c r="D28" s="392">
        <f>2221.69*1.1*1.1</f>
        <v>2688.2449000000006</v>
      </c>
      <c r="E28" s="542">
        <f t="shared" si="0"/>
        <v>3172.1289820000006</v>
      </c>
    </row>
    <row r="29" spans="1:5" ht="12.75">
      <c r="A29" s="255" t="s">
        <v>2981</v>
      </c>
      <c r="B29" s="326" t="s">
        <v>2292</v>
      </c>
      <c r="C29" s="882"/>
      <c r="D29" s="392">
        <f>2221.69*1.1*1.1</f>
        <v>2688.2449000000006</v>
      </c>
      <c r="E29" s="542">
        <f t="shared" si="0"/>
        <v>3172.1289820000006</v>
      </c>
    </row>
    <row r="30" spans="1:5" ht="25.5">
      <c r="A30" s="255" t="s">
        <v>2982</v>
      </c>
      <c r="B30" s="326" t="s">
        <v>3023</v>
      </c>
      <c r="C30" s="882"/>
      <c r="D30" s="392">
        <f>2221.69*1.1*1.1</f>
        <v>2688.2449000000006</v>
      </c>
      <c r="E30" s="542">
        <f t="shared" si="0"/>
        <v>3172.1289820000006</v>
      </c>
    </row>
    <row r="31" spans="1:5" ht="12.75">
      <c r="A31" s="255" t="s">
        <v>3272</v>
      </c>
      <c r="B31" s="326" t="s">
        <v>3275</v>
      </c>
      <c r="C31" s="882"/>
      <c r="D31" s="392">
        <f>1557.26*1.1*1.1</f>
        <v>1884.2846000000002</v>
      </c>
      <c r="E31" s="542">
        <f t="shared" si="0"/>
        <v>2223.455828</v>
      </c>
    </row>
    <row r="32" spans="1:5" ht="25.5">
      <c r="A32" s="255" t="s">
        <v>3273</v>
      </c>
      <c r="B32" s="326" t="s">
        <v>3276</v>
      </c>
      <c r="C32" s="882"/>
      <c r="D32" s="392">
        <f>2076.35*1.1*1.1</f>
        <v>2512.3835000000004</v>
      </c>
      <c r="E32" s="542">
        <f t="shared" si="0"/>
        <v>2964.6125300000003</v>
      </c>
    </row>
    <row r="33" spans="1:5" ht="25.5">
      <c r="A33" s="255" t="s">
        <v>3274</v>
      </c>
      <c r="B33" s="326" t="s">
        <v>3277</v>
      </c>
      <c r="C33" s="882"/>
      <c r="D33" s="392">
        <f>1557.26*1.1*1.1</f>
        <v>1884.2846000000002</v>
      </c>
      <c r="E33" s="542">
        <f t="shared" si="0"/>
        <v>2223.455828</v>
      </c>
    </row>
    <row r="34" spans="1:5" ht="12.75">
      <c r="A34" s="255" t="s">
        <v>3381</v>
      </c>
      <c r="B34" s="326" t="s">
        <v>3382</v>
      </c>
      <c r="C34" s="882"/>
      <c r="D34" s="392">
        <f>1110.85*1.1*1.1</f>
        <v>1344.1285</v>
      </c>
      <c r="E34" s="542">
        <f t="shared" si="0"/>
        <v>1586.07163</v>
      </c>
    </row>
    <row r="35" spans="1:5" ht="25.5">
      <c r="A35" s="255" t="s">
        <v>3385</v>
      </c>
      <c r="B35" s="326" t="s">
        <v>3386</v>
      </c>
      <c r="C35" s="883"/>
      <c r="D35" s="392">
        <f>2221.69*1.1*1.1</f>
        <v>2688.2449000000006</v>
      </c>
      <c r="E35" s="542">
        <f t="shared" si="0"/>
        <v>3172.1289820000006</v>
      </c>
    </row>
    <row r="36" spans="1:5" s="111" customFormat="1" ht="12.75">
      <c r="A36" s="28" t="s">
        <v>2983</v>
      </c>
      <c r="B36" s="884" t="s">
        <v>2248</v>
      </c>
      <c r="C36" s="884"/>
      <c r="D36" s="884"/>
      <c r="E36" s="884"/>
    </row>
    <row r="37" spans="1:5" ht="12.75">
      <c r="A37" s="255" t="s">
        <v>2984</v>
      </c>
      <c r="B37" s="326" t="s">
        <v>2249</v>
      </c>
      <c r="C37" s="881"/>
      <c r="D37" s="392">
        <f>2221.69*1.1*1.1</f>
        <v>2688.2449000000006</v>
      </c>
      <c r="E37" s="542">
        <f aca="true" t="shared" si="1" ref="E37:E50">D37*1.18</f>
        <v>3172.1289820000006</v>
      </c>
    </row>
    <row r="38" spans="1:5" ht="25.5">
      <c r="A38" s="255" t="s">
        <v>2985</v>
      </c>
      <c r="B38" s="326" t="s">
        <v>2250</v>
      </c>
      <c r="C38" s="882"/>
      <c r="D38" s="392">
        <f>1666.27*1.1*1.1</f>
        <v>2016.1867000000004</v>
      </c>
      <c r="E38" s="542">
        <f t="shared" si="1"/>
        <v>2379.1003060000003</v>
      </c>
    </row>
    <row r="39" spans="1:5" ht="12.75">
      <c r="A39" s="255" t="s">
        <v>2986</v>
      </c>
      <c r="B39" s="326" t="s">
        <v>2251</v>
      </c>
      <c r="C39" s="882"/>
      <c r="D39" s="392">
        <f>1666.27*1.1*1.1</f>
        <v>2016.1867000000004</v>
      </c>
      <c r="E39" s="542">
        <f t="shared" si="1"/>
        <v>2379.1003060000003</v>
      </c>
    </row>
    <row r="40" spans="1:5" ht="12.75">
      <c r="A40" s="255" t="s">
        <v>2987</v>
      </c>
      <c r="B40" s="326" t="s">
        <v>2674</v>
      </c>
      <c r="C40" s="882"/>
      <c r="D40" s="392">
        <f>1333.01*1.1*1.1</f>
        <v>1612.9421000000002</v>
      </c>
      <c r="E40" s="542">
        <f t="shared" si="1"/>
        <v>1903.271678</v>
      </c>
    </row>
    <row r="41" spans="1:5" ht="12.75">
      <c r="A41" s="255" t="s">
        <v>2988</v>
      </c>
      <c r="B41" s="541" t="s">
        <v>2625</v>
      </c>
      <c r="C41" s="882"/>
      <c r="D41" s="392">
        <f>1666.27*1.1*1.1</f>
        <v>2016.1867000000004</v>
      </c>
      <c r="E41" s="542">
        <f t="shared" si="1"/>
        <v>2379.1003060000003</v>
      </c>
    </row>
    <row r="42" spans="1:5" ht="25.5">
      <c r="A42" s="255" t="s">
        <v>2989</v>
      </c>
      <c r="B42" s="541" t="s">
        <v>2626</v>
      </c>
      <c r="C42" s="882"/>
      <c r="D42" s="392">
        <f>1888.44*1.1*1.1</f>
        <v>2285.0124000000005</v>
      </c>
      <c r="E42" s="542">
        <f t="shared" si="1"/>
        <v>2696.3146320000005</v>
      </c>
    </row>
    <row r="43" spans="1:5" ht="12.75">
      <c r="A43" s="255" t="s">
        <v>2990</v>
      </c>
      <c r="B43" s="541" t="s">
        <v>786</v>
      </c>
      <c r="C43" s="882"/>
      <c r="D43" s="392">
        <f>1333.01*1.1*1.1</f>
        <v>1612.9421000000002</v>
      </c>
      <c r="E43" s="542">
        <f t="shared" si="1"/>
        <v>1903.271678</v>
      </c>
    </row>
    <row r="44" spans="1:5" ht="12.75">
      <c r="A44" s="255" t="s">
        <v>2991</v>
      </c>
      <c r="B44" s="541" t="s">
        <v>787</v>
      </c>
      <c r="C44" s="882"/>
      <c r="D44" s="392">
        <f>1333.01*1.1*1.1</f>
        <v>1612.9421000000002</v>
      </c>
      <c r="E44" s="542">
        <f t="shared" si="1"/>
        <v>1903.271678</v>
      </c>
    </row>
    <row r="45" spans="1:5" ht="25.5">
      <c r="A45" s="255" t="s">
        <v>2992</v>
      </c>
      <c r="B45" s="541" t="s">
        <v>788</v>
      </c>
      <c r="C45" s="882"/>
      <c r="D45" s="392">
        <f>1333.01*1.1*1.1</f>
        <v>1612.9421000000002</v>
      </c>
      <c r="E45" s="542">
        <f t="shared" si="1"/>
        <v>1903.271678</v>
      </c>
    </row>
    <row r="46" spans="1:5" ht="25.5">
      <c r="A46" s="255" t="s">
        <v>2993</v>
      </c>
      <c r="B46" s="541" t="s">
        <v>789</v>
      </c>
      <c r="C46" s="882"/>
      <c r="D46" s="392">
        <f>1555.18*1.1*1.1</f>
        <v>1881.7678000000005</v>
      </c>
      <c r="E46" s="542">
        <f t="shared" si="1"/>
        <v>2220.4860040000003</v>
      </c>
    </row>
    <row r="47" spans="1:5" ht="25.5">
      <c r="A47" s="255" t="s">
        <v>2994</v>
      </c>
      <c r="B47" s="541" t="s">
        <v>790</v>
      </c>
      <c r="C47" s="882"/>
      <c r="D47" s="392">
        <f>1666.27*1.1*1.1</f>
        <v>2016.1867000000004</v>
      </c>
      <c r="E47" s="542">
        <f t="shared" si="1"/>
        <v>2379.1003060000003</v>
      </c>
    </row>
    <row r="48" spans="1:5" ht="25.5">
      <c r="A48" s="255" t="s">
        <v>2995</v>
      </c>
      <c r="B48" s="541" t="s">
        <v>791</v>
      </c>
      <c r="C48" s="882"/>
      <c r="D48" s="392">
        <f>1999.52*1.1*1.1</f>
        <v>2419.4192000000003</v>
      </c>
      <c r="E48" s="542">
        <f t="shared" si="1"/>
        <v>2854.9146560000004</v>
      </c>
    </row>
    <row r="49" spans="1:5" ht="12.75">
      <c r="A49" s="255" t="s">
        <v>2996</v>
      </c>
      <c r="B49" s="326" t="s">
        <v>2252</v>
      </c>
      <c r="C49" s="882"/>
      <c r="D49" s="392">
        <f>1666.27*1.1*1.1</f>
        <v>2016.1867000000004</v>
      </c>
      <c r="E49" s="542">
        <f t="shared" si="1"/>
        <v>2379.1003060000003</v>
      </c>
    </row>
    <row r="50" spans="1:5" ht="12.75">
      <c r="A50" s="255" t="s">
        <v>2997</v>
      </c>
      <c r="B50" s="326" t="s">
        <v>3378</v>
      </c>
      <c r="C50" s="882"/>
      <c r="D50" s="392">
        <f>1666.27*1.1*1.1</f>
        <v>2016.1867000000004</v>
      </c>
      <c r="E50" s="542">
        <f t="shared" si="1"/>
        <v>2379.1003060000003</v>
      </c>
    </row>
    <row r="51" spans="1:5" ht="38.25">
      <c r="A51" s="255" t="s">
        <v>3379</v>
      </c>
      <c r="B51" s="326" t="s">
        <v>3380</v>
      </c>
      <c r="C51" s="882"/>
      <c r="D51" s="392">
        <f>1333.01*1.1*1.1</f>
        <v>1612.9421000000002</v>
      </c>
      <c r="E51" s="542">
        <f>D51*1.18</f>
        <v>1903.271678</v>
      </c>
    </row>
    <row r="52" spans="1:5" ht="12.75">
      <c r="A52" s="255" t="s">
        <v>3383</v>
      </c>
      <c r="B52" s="326" t="s">
        <v>3384</v>
      </c>
      <c r="C52" s="882"/>
      <c r="D52" s="392">
        <f>1666.27*1.1*1.1</f>
        <v>2016.1867000000004</v>
      </c>
      <c r="E52" s="542">
        <f>D52*1.18</f>
        <v>2379.1003060000003</v>
      </c>
    </row>
    <row r="53" spans="1:5" ht="25.5">
      <c r="A53" s="255" t="s">
        <v>3388</v>
      </c>
      <c r="B53" s="326" t="s">
        <v>3389</v>
      </c>
      <c r="C53" s="882"/>
      <c r="D53" s="392">
        <f>1666.27*1.1*1.1</f>
        <v>2016.1867000000004</v>
      </c>
      <c r="E53" s="542">
        <f>D53*1.18</f>
        <v>2379.1003060000003</v>
      </c>
    </row>
    <row r="54" spans="1:5" ht="51">
      <c r="A54" s="255" t="s">
        <v>3398</v>
      </c>
      <c r="B54" s="326" t="s">
        <v>3399</v>
      </c>
      <c r="C54" s="882"/>
      <c r="D54" s="392">
        <f>1666.27*1.1*1.1</f>
        <v>2016.1867000000004</v>
      </c>
      <c r="E54" s="542">
        <f>D54*1.18</f>
        <v>2379.1003060000003</v>
      </c>
    </row>
    <row r="55" spans="1:5" ht="51">
      <c r="A55" s="255" t="s">
        <v>3400</v>
      </c>
      <c r="B55" s="326" t="s">
        <v>3401</v>
      </c>
      <c r="C55" s="883"/>
      <c r="D55" s="392">
        <f>1999.52*1.1*1.1</f>
        <v>2419.4192000000003</v>
      </c>
      <c r="E55" s="542">
        <f>D55*1.18</f>
        <v>2854.9146560000004</v>
      </c>
    </row>
    <row r="56" spans="1:5" s="111" customFormat="1" ht="12.75">
      <c r="A56" s="28" t="s">
        <v>2998</v>
      </c>
      <c r="B56" s="884" t="s">
        <v>1667</v>
      </c>
      <c r="C56" s="884"/>
      <c r="D56" s="884"/>
      <c r="E56" s="884"/>
    </row>
    <row r="57" spans="1:5" ht="25.5">
      <c r="A57" s="255" t="s">
        <v>2999</v>
      </c>
      <c r="B57" s="326" t="s">
        <v>2675</v>
      </c>
      <c r="C57" s="887"/>
      <c r="D57" s="392">
        <f>1666.27*1.1*1.1</f>
        <v>2016.1867000000004</v>
      </c>
      <c r="E57" s="542">
        <f>D57*1.18</f>
        <v>2379.1003060000003</v>
      </c>
    </row>
    <row r="58" spans="1:5" ht="38.25">
      <c r="A58" s="255" t="s">
        <v>3000</v>
      </c>
      <c r="B58" s="326" t="s">
        <v>2676</v>
      </c>
      <c r="C58" s="887"/>
      <c r="D58" s="392">
        <f>1666.27*1.1*1.1</f>
        <v>2016.1867000000004</v>
      </c>
      <c r="E58" s="542">
        <f>D58*1.18</f>
        <v>2379.1003060000003</v>
      </c>
    </row>
    <row r="59" spans="1:5" ht="12.75">
      <c r="A59" s="255" t="s">
        <v>3001</v>
      </c>
      <c r="B59" s="326" t="s">
        <v>2677</v>
      </c>
      <c r="C59" s="887"/>
      <c r="D59" s="392">
        <f>1666.27*1.1*1.1</f>
        <v>2016.1867000000004</v>
      </c>
      <c r="E59" s="542">
        <f>D59*1.18</f>
        <v>2379.1003060000003</v>
      </c>
    </row>
    <row r="60" spans="1:5" ht="12.75">
      <c r="A60" s="255" t="s">
        <v>3002</v>
      </c>
      <c r="B60" s="326" t="s">
        <v>2678</v>
      </c>
      <c r="C60" s="887"/>
      <c r="D60" s="392">
        <f>1666.27*1.1*1.1</f>
        <v>2016.1867000000004</v>
      </c>
      <c r="E60" s="542">
        <f>D60*1.18</f>
        <v>2379.1003060000003</v>
      </c>
    </row>
    <row r="61" spans="1:5" s="111" customFormat="1" ht="12.75">
      <c r="A61" s="28" t="s">
        <v>3003</v>
      </c>
      <c r="B61" s="884" t="s">
        <v>1454</v>
      </c>
      <c r="C61" s="884"/>
      <c r="D61" s="884"/>
      <c r="E61" s="884"/>
    </row>
    <row r="62" spans="1:5" ht="25.5">
      <c r="A62" s="255" t="s">
        <v>3004</v>
      </c>
      <c r="B62" s="326" t="s">
        <v>1585</v>
      </c>
      <c r="C62" s="887"/>
      <c r="D62" s="392">
        <f>1999.52*1.1*1.1</f>
        <v>2419.4192000000003</v>
      </c>
      <c r="E62" s="542">
        <f>D62*1.18</f>
        <v>2854.9146560000004</v>
      </c>
    </row>
    <row r="63" spans="1:5" ht="25.5">
      <c r="A63" s="255" t="s">
        <v>3005</v>
      </c>
      <c r="B63" s="326" t="s">
        <v>624</v>
      </c>
      <c r="C63" s="887"/>
      <c r="D63" s="392">
        <f>2221.69*1.1*1.1</f>
        <v>2688.2449000000006</v>
      </c>
      <c r="E63" s="542">
        <f>D63*1.18</f>
        <v>3172.1289820000006</v>
      </c>
    </row>
    <row r="64" spans="1:5" ht="25.5">
      <c r="A64" s="255" t="s">
        <v>3006</v>
      </c>
      <c r="B64" s="326" t="s">
        <v>2254</v>
      </c>
      <c r="C64" s="887"/>
      <c r="D64" s="392">
        <f>2221.69*1.1*1.1</f>
        <v>2688.2449000000006</v>
      </c>
      <c r="E64" s="542">
        <f>D64*1.18</f>
        <v>3172.1289820000006</v>
      </c>
    </row>
    <row r="65" spans="1:5" s="111" customFormat="1" ht="12.75">
      <c r="A65" s="28" t="s">
        <v>3007</v>
      </c>
      <c r="B65" s="884" t="s">
        <v>433</v>
      </c>
      <c r="C65" s="884"/>
      <c r="D65" s="884"/>
      <c r="E65" s="884"/>
    </row>
    <row r="66" spans="1:5" ht="25.5" customHeight="1">
      <c r="A66" s="255" t="s">
        <v>3008</v>
      </c>
      <c r="B66" s="326" t="s">
        <v>434</v>
      </c>
      <c r="C66" s="881"/>
      <c r="D66" s="392">
        <f>1333.01*1.1*1.1</f>
        <v>1612.9421000000002</v>
      </c>
      <c r="E66" s="542">
        <f>D66*1.18</f>
        <v>1903.271678</v>
      </c>
    </row>
    <row r="67" spans="1:5" ht="25.5" customHeight="1">
      <c r="A67" s="255" t="s">
        <v>3390</v>
      </c>
      <c r="B67" s="326" t="s">
        <v>3392</v>
      </c>
      <c r="C67" s="882"/>
      <c r="D67" s="392">
        <f>1333.01*1.1*1.1</f>
        <v>1612.9421000000002</v>
      </c>
      <c r="E67" s="542">
        <f>D67*1.18</f>
        <v>1903.271678</v>
      </c>
    </row>
    <row r="68" spans="1:5" ht="25.5" customHeight="1">
      <c r="A68" s="255" t="s">
        <v>3391</v>
      </c>
      <c r="B68" s="326" t="s">
        <v>3393</v>
      </c>
      <c r="C68" s="882"/>
      <c r="D68" s="392">
        <f>1333.01*1.1*1.1</f>
        <v>1612.9421000000002</v>
      </c>
      <c r="E68" s="542">
        <f>D68*1.18</f>
        <v>1903.271678</v>
      </c>
    </row>
    <row r="69" spans="1:5" ht="25.5" customHeight="1">
      <c r="A69" s="255" t="s">
        <v>3528</v>
      </c>
      <c r="B69" s="326" t="s">
        <v>3529</v>
      </c>
      <c r="C69" s="883"/>
      <c r="D69" s="392">
        <f>1221.94*1.1</f>
        <v>1344.1340000000002</v>
      </c>
      <c r="E69" s="542">
        <f>D69*1.18</f>
        <v>1586.0781200000001</v>
      </c>
    </row>
    <row r="70" spans="1:5" ht="25.5" customHeight="1">
      <c r="A70" s="255" t="s">
        <v>3547</v>
      </c>
      <c r="B70" s="326" t="s">
        <v>3548</v>
      </c>
      <c r="C70" s="771"/>
      <c r="D70" s="392">
        <f>1466.31*1.1</f>
        <v>1612.941</v>
      </c>
      <c r="E70" s="542">
        <f>D70*1.18</f>
        <v>1903.27038</v>
      </c>
    </row>
    <row r="71" spans="1:5" s="364" customFormat="1" ht="16.5" customHeight="1">
      <c r="A71" s="612">
        <v>2</v>
      </c>
      <c r="B71" s="885" t="s">
        <v>3395</v>
      </c>
      <c r="C71" s="885"/>
      <c r="D71" s="885"/>
      <c r="E71" s="885"/>
    </row>
    <row r="72" spans="1:5" s="364" customFormat="1" ht="13.5" customHeight="1">
      <c r="A72" s="613" t="s">
        <v>3009</v>
      </c>
      <c r="B72" s="614" t="s">
        <v>2255</v>
      </c>
      <c r="C72" s="886"/>
      <c r="D72" s="392">
        <f>4675.69*1.1*1.1</f>
        <v>5657.584900000001</v>
      </c>
      <c r="E72" s="548">
        <f>D72*1.18</f>
        <v>6675.9501820000005</v>
      </c>
    </row>
    <row r="73" spans="1:5" s="364" customFormat="1" ht="12.75">
      <c r="A73" s="613" t="s">
        <v>3010</v>
      </c>
      <c r="B73" s="614" t="s">
        <v>2248</v>
      </c>
      <c r="C73" s="886"/>
      <c r="D73" s="392">
        <f>3744.19*1.1*1.1</f>
        <v>4530.469900000001</v>
      </c>
      <c r="E73" s="548">
        <f aca="true" t="shared" si="2" ref="E73:E79">D73*1.18</f>
        <v>5345.954482000001</v>
      </c>
    </row>
    <row r="74" spans="1:5" s="364" customFormat="1" ht="12.75">
      <c r="A74" s="613" t="s">
        <v>2967</v>
      </c>
      <c r="B74" s="614" t="s">
        <v>2256</v>
      </c>
      <c r="C74" s="886"/>
      <c r="D74" s="392">
        <f>3123.19*1.1*1.1</f>
        <v>3779.0599000000007</v>
      </c>
      <c r="E74" s="548">
        <f t="shared" si="2"/>
        <v>4459.290682000001</v>
      </c>
    </row>
    <row r="75" spans="1:5" s="364" customFormat="1" ht="12.75">
      <c r="A75" s="613" t="s">
        <v>3011</v>
      </c>
      <c r="B75" s="614" t="s">
        <v>2257</v>
      </c>
      <c r="C75" s="886"/>
      <c r="D75" s="392">
        <f>4675.69*1.1*1.1</f>
        <v>5657.584900000001</v>
      </c>
      <c r="E75" s="548">
        <f t="shared" si="2"/>
        <v>6675.9501820000005</v>
      </c>
    </row>
    <row r="76" spans="1:5" s="364" customFormat="1" ht="12.75">
      <c r="A76" s="613" t="s">
        <v>3012</v>
      </c>
      <c r="B76" s="614" t="s">
        <v>2258</v>
      </c>
      <c r="C76" s="886"/>
      <c r="D76" s="392">
        <f>3744.19*1.1*1.1</f>
        <v>4530.469900000001</v>
      </c>
      <c r="E76" s="548">
        <f t="shared" si="2"/>
        <v>5345.954482000001</v>
      </c>
    </row>
    <row r="77" spans="1:5" s="364" customFormat="1" ht="12.75">
      <c r="A77" s="613" t="s">
        <v>3013</v>
      </c>
      <c r="B77" s="453" t="s">
        <v>2259</v>
      </c>
      <c r="C77" s="886"/>
      <c r="D77" s="392">
        <f>3744.19*1.1*1.1</f>
        <v>4530.469900000001</v>
      </c>
      <c r="E77" s="548">
        <f t="shared" si="2"/>
        <v>5345.954482000001</v>
      </c>
    </row>
    <row r="78" spans="1:5" s="364" customFormat="1" ht="12.75">
      <c r="A78" s="613" t="s">
        <v>3014</v>
      </c>
      <c r="B78" s="453" t="s">
        <v>3397</v>
      </c>
      <c r="C78" s="886"/>
      <c r="D78" s="392">
        <f>4675.69*1.1*1.1</f>
        <v>5657.584900000001</v>
      </c>
      <c r="E78" s="548">
        <f>D78*1.18</f>
        <v>6675.9501820000005</v>
      </c>
    </row>
    <row r="79" spans="1:5" s="364" customFormat="1" ht="12.75">
      <c r="A79" s="613" t="s">
        <v>3396</v>
      </c>
      <c r="B79" s="453" t="s">
        <v>2679</v>
      </c>
      <c r="C79" s="886"/>
      <c r="D79" s="392">
        <f>3123.19*1.1*1.1</f>
        <v>3779.0599000000007</v>
      </c>
      <c r="E79" s="548">
        <f t="shared" si="2"/>
        <v>4459.290682000001</v>
      </c>
    </row>
    <row r="80" spans="1:5" s="111" customFormat="1" ht="12.75">
      <c r="A80" s="545" t="s">
        <v>3010</v>
      </c>
      <c r="B80" s="884" t="s">
        <v>2260</v>
      </c>
      <c r="C80" s="884"/>
      <c r="D80" s="884"/>
      <c r="E80" s="884"/>
    </row>
    <row r="81" spans="1:5" ht="12.75">
      <c r="A81" s="381" t="s">
        <v>3015</v>
      </c>
      <c r="B81" s="326" t="s">
        <v>784</v>
      </c>
      <c r="C81" s="881"/>
      <c r="D81" s="392">
        <f>1021.98*1.1*1.1</f>
        <v>1236.5958000000003</v>
      </c>
      <c r="E81" s="542">
        <f>D81*1.18</f>
        <v>1459.1830440000003</v>
      </c>
    </row>
    <row r="82" spans="1:5" ht="38.25">
      <c r="A82" s="26" t="s">
        <v>3016</v>
      </c>
      <c r="B82" s="253" t="s">
        <v>2968</v>
      </c>
      <c r="C82" s="882"/>
      <c r="D82" s="445"/>
      <c r="E82" s="446"/>
    </row>
    <row r="83" spans="1:5" ht="25.5">
      <c r="A83" s="546" t="s">
        <v>2966</v>
      </c>
      <c r="B83" s="547" t="s">
        <v>2969</v>
      </c>
      <c r="C83" s="883"/>
      <c r="D83" s="392">
        <f>81.87*1.1*1.1</f>
        <v>99.06270000000002</v>
      </c>
      <c r="E83" s="548">
        <f>D83*1.18</f>
        <v>116.89398600000001</v>
      </c>
    </row>
    <row r="84" ht="12.75">
      <c r="B84" s="90"/>
    </row>
    <row r="85" ht="15.75">
      <c r="A85" s="295"/>
    </row>
    <row r="86" spans="1:5" ht="31.5" hidden="1">
      <c r="A86" s="295"/>
      <c r="B86" s="137" t="s">
        <v>2326</v>
      </c>
      <c r="C86" s="295"/>
      <c r="D86" s="393"/>
      <c r="E86" s="299" t="s">
        <v>2477</v>
      </c>
    </row>
    <row r="87" spans="1:5" ht="15.75">
      <c r="A87" s="295"/>
      <c r="B87" s="301"/>
      <c r="C87" s="295"/>
      <c r="D87" s="393"/>
      <c r="E87" s="295"/>
    </row>
    <row r="88" spans="1:5" ht="15.75">
      <c r="A88" s="140"/>
      <c r="B88" s="144" t="s">
        <v>2819</v>
      </c>
      <c r="C88" s="295"/>
      <c r="D88" s="393"/>
      <c r="E88" s="299" t="s">
        <v>2820</v>
      </c>
    </row>
  </sheetData>
  <sheetProtection/>
  <mergeCells count="23">
    <mergeCell ref="C14:C17"/>
    <mergeCell ref="B22:E22"/>
    <mergeCell ref="C23:C35"/>
    <mergeCell ref="C37:C55"/>
    <mergeCell ref="A6:E6"/>
    <mergeCell ref="A7:E7"/>
    <mergeCell ref="A8:E8"/>
    <mergeCell ref="A9:E9"/>
    <mergeCell ref="B12:E12"/>
    <mergeCell ref="B13:E13"/>
    <mergeCell ref="B56:E56"/>
    <mergeCell ref="C57:C60"/>
    <mergeCell ref="B61:E61"/>
    <mergeCell ref="C62:C64"/>
    <mergeCell ref="B18:E18"/>
    <mergeCell ref="C19:C21"/>
    <mergeCell ref="B36:E36"/>
    <mergeCell ref="C81:C83"/>
    <mergeCell ref="B65:E65"/>
    <mergeCell ref="B71:E71"/>
    <mergeCell ref="C72:C79"/>
    <mergeCell ref="B80:E80"/>
    <mergeCell ref="C66:C69"/>
  </mergeCells>
  <printOptions/>
  <pageMargins left="0.7480314960629921" right="0.7480314960629921" top="0.2755905511811024" bottom="0.3937007874015748" header="0.31496062992125984" footer="0.5118110236220472"/>
  <pageSetup fitToHeight="7"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rgb="FFFF0000"/>
  </sheetPr>
  <dimension ref="A8:D73"/>
  <sheetViews>
    <sheetView zoomScalePageLayoutView="0" workbookViewId="0" topLeftCell="A8">
      <selection activeCell="J23" sqref="J23"/>
    </sheetView>
  </sheetViews>
  <sheetFormatPr defaultColWidth="9.00390625" defaultRowHeight="12.75"/>
  <cols>
    <col min="1" max="1" width="8.75390625" style="179" customWidth="1"/>
    <col min="2" max="2" width="49.125" style="2" customWidth="1"/>
    <col min="3" max="3" width="15.00390625" style="0" customWidth="1"/>
    <col min="4" max="4" width="14.375" style="0" customWidth="1"/>
  </cols>
  <sheetData>
    <row r="1" ht="12.75" hidden="1"/>
    <row r="2" ht="12.75" hidden="1"/>
    <row r="3" ht="12.75" hidden="1"/>
    <row r="4" ht="12.75" hidden="1"/>
    <row r="5" ht="12.75" hidden="1"/>
    <row r="6" ht="12.75" hidden="1"/>
    <row r="7" ht="12.75" hidden="1"/>
    <row r="8" spans="1:4" ht="12.75">
      <c r="A8" s="121"/>
      <c r="B8" s="5"/>
      <c r="D8" s="4" t="s">
        <v>2665</v>
      </c>
    </row>
    <row r="9" spans="1:4" ht="12.75">
      <c r="A9" s="121"/>
      <c r="B9" s="5"/>
      <c r="D9" s="81" t="s">
        <v>2822</v>
      </c>
    </row>
    <row r="10" spans="1:4" ht="12.75">
      <c r="A10" s="121"/>
      <c r="B10" s="5"/>
      <c r="D10" s="81" t="s">
        <v>3556</v>
      </c>
    </row>
    <row r="11" spans="1:4" ht="12.75">
      <c r="A11" s="121"/>
      <c r="B11" s="5"/>
      <c r="D11" s="81"/>
    </row>
    <row r="12" spans="1:2" ht="12.75">
      <c r="A12" s="121"/>
      <c r="B12" s="5"/>
    </row>
    <row r="13" spans="1:4" ht="15" customHeight="1">
      <c r="A13" s="897" t="s">
        <v>3551</v>
      </c>
      <c r="B13" s="897"/>
      <c r="C13" s="897"/>
      <c r="D13" s="897"/>
    </row>
    <row r="14" spans="1:4" ht="15" customHeight="1">
      <c r="A14" s="897" t="s">
        <v>2823</v>
      </c>
      <c r="B14" s="897"/>
      <c r="C14" s="897"/>
      <c r="D14" s="897"/>
    </row>
    <row r="15" spans="1:4" ht="15" customHeight="1">
      <c r="A15" s="898" t="s">
        <v>1161</v>
      </c>
      <c r="B15" s="898"/>
      <c r="C15" s="898"/>
      <c r="D15" s="898"/>
    </row>
    <row r="16" spans="1:4" s="22" customFormat="1" ht="15.75">
      <c r="A16" s="899" t="s">
        <v>3553</v>
      </c>
      <c r="B16" s="899"/>
      <c r="C16" s="899"/>
      <c r="D16" s="899"/>
    </row>
    <row r="17" ht="13.5" thickBot="1"/>
    <row r="18" spans="1:4" s="385" customFormat="1" ht="24.75" customHeight="1" thickBot="1">
      <c r="A18" s="630" t="s">
        <v>2522</v>
      </c>
      <c r="B18" s="631" t="s">
        <v>779</v>
      </c>
      <c r="C18" s="56" t="s">
        <v>336</v>
      </c>
      <c r="D18" s="49" t="s">
        <v>337</v>
      </c>
    </row>
    <row r="19" spans="1:4" ht="12.75">
      <c r="A19" s="692">
        <v>1</v>
      </c>
      <c r="B19" s="693">
        <v>2</v>
      </c>
      <c r="C19" s="694">
        <v>3</v>
      </c>
      <c r="D19" s="694">
        <v>4</v>
      </c>
    </row>
    <row r="20" spans="1:4" ht="19.5" customHeight="1">
      <c r="A20" s="985" t="s">
        <v>2001</v>
      </c>
      <c r="B20" s="985"/>
      <c r="C20" s="985"/>
      <c r="D20" s="985"/>
    </row>
    <row r="21" spans="1:4" ht="14.25" customHeight="1">
      <c r="A21" s="333" t="s">
        <v>1913</v>
      </c>
      <c r="B21" s="969" t="s">
        <v>2619</v>
      </c>
      <c r="C21" s="969"/>
      <c r="D21" s="969"/>
    </row>
    <row r="22" spans="1:4" ht="12.75">
      <c r="A22" s="329" t="s">
        <v>2002</v>
      </c>
      <c r="B22" s="334" t="s">
        <v>2620</v>
      </c>
      <c r="C22" s="37"/>
      <c r="D22" s="37"/>
    </row>
    <row r="23" spans="1:4" ht="25.5">
      <c r="A23" s="335" t="s">
        <v>2003</v>
      </c>
      <c r="B23" s="255" t="s">
        <v>2621</v>
      </c>
      <c r="C23" s="31">
        <f>D23/1.18</f>
        <v>567.7966101694916</v>
      </c>
      <c r="D23" s="223">
        <v>670</v>
      </c>
    </row>
    <row r="24" spans="1:4" ht="12.75">
      <c r="A24" s="335" t="s">
        <v>2004</v>
      </c>
      <c r="B24" s="255" t="s">
        <v>1074</v>
      </c>
      <c r="C24" s="31">
        <f>D24/1.18</f>
        <v>335.5932203389831</v>
      </c>
      <c r="D24" s="88">
        <v>396</v>
      </c>
    </row>
    <row r="25" spans="1:4" ht="38.25">
      <c r="A25" s="335" t="s">
        <v>2005</v>
      </c>
      <c r="B25" s="255" t="s">
        <v>1075</v>
      </c>
      <c r="C25" s="31">
        <f>D25/1.18</f>
        <v>555.0847457627119</v>
      </c>
      <c r="D25" s="88">
        <v>655</v>
      </c>
    </row>
    <row r="26" spans="1:4" ht="12.75">
      <c r="A26" s="335" t="s">
        <v>2006</v>
      </c>
      <c r="B26" s="255" t="s">
        <v>1076</v>
      </c>
      <c r="C26" s="31">
        <f>D26/1.18</f>
        <v>228.8135593220339</v>
      </c>
      <c r="D26" s="88">
        <v>270</v>
      </c>
    </row>
    <row r="27" spans="1:4" ht="12.75">
      <c r="A27" s="331" t="s">
        <v>2007</v>
      </c>
      <c r="B27" s="334" t="s">
        <v>2616</v>
      </c>
      <c r="C27" s="31"/>
      <c r="D27" s="336"/>
    </row>
    <row r="28" spans="1:4" ht="38.25">
      <c r="A28" s="335" t="s">
        <v>2008</v>
      </c>
      <c r="B28" s="255" t="s">
        <v>1077</v>
      </c>
      <c r="C28" s="31">
        <f>D28/1.18</f>
        <v>2033.0508474576272</v>
      </c>
      <c r="D28" s="88">
        <v>2399</v>
      </c>
    </row>
    <row r="29" spans="1:4" ht="38.25">
      <c r="A29" s="335" t="s">
        <v>2009</v>
      </c>
      <c r="B29" s="255" t="s">
        <v>455</v>
      </c>
      <c r="C29" s="31">
        <f>D29/1.18</f>
        <v>1372.033898305085</v>
      </c>
      <c r="D29" s="88">
        <v>1619</v>
      </c>
    </row>
    <row r="30" spans="1:4" ht="38.25">
      <c r="A30" s="335" t="s">
        <v>2010</v>
      </c>
      <c r="B30" s="255" t="s">
        <v>456</v>
      </c>
      <c r="C30" s="31">
        <f aca="true" t="shared" si="0" ref="C30:C40">D30/1.18</f>
        <v>1255.9322033898306</v>
      </c>
      <c r="D30" s="88">
        <v>1482</v>
      </c>
    </row>
    <row r="31" spans="1:4" ht="26.25" customHeight="1">
      <c r="A31" s="329" t="s">
        <v>2011</v>
      </c>
      <c r="B31" s="647" t="s">
        <v>3410</v>
      </c>
      <c r="C31" s="31">
        <f t="shared" si="0"/>
        <v>1338.1355932203392</v>
      </c>
      <c r="D31" s="629">
        <v>1579</v>
      </c>
    </row>
    <row r="32" spans="1:4" ht="25.5">
      <c r="A32" s="331" t="s">
        <v>2012</v>
      </c>
      <c r="B32" s="337" t="s">
        <v>457</v>
      </c>
      <c r="C32" s="31">
        <f t="shared" si="0"/>
        <v>228.8135593220339</v>
      </c>
      <c r="D32" s="629">
        <v>270</v>
      </c>
    </row>
    <row r="33" spans="1:4" ht="12.75">
      <c r="A33" s="329" t="s">
        <v>2013</v>
      </c>
      <c r="B33" s="337" t="s">
        <v>2504</v>
      </c>
      <c r="C33" s="31">
        <f t="shared" si="0"/>
        <v>342.37288135593224</v>
      </c>
      <c r="D33" s="629">
        <v>404</v>
      </c>
    </row>
    <row r="34" spans="1:4" ht="25.5">
      <c r="A34" s="329" t="s">
        <v>2014</v>
      </c>
      <c r="B34" s="337" t="s">
        <v>814</v>
      </c>
      <c r="C34" s="31">
        <f t="shared" si="0"/>
        <v>342.37288135593224</v>
      </c>
      <c r="D34" s="629">
        <v>404</v>
      </c>
    </row>
    <row r="35" spans="1:4" ht="25.5">
      <c r="A35" s="335" t="s">
        <v>2015</v>
      </c>
      <c r="B35" s="326" t="s">
        <v>815</v>
      </c>
      <c r="C35" s="31">
        <f t="shared" si="0"/>
        <v>113.55932203389831</v>
      </c>
      <c r="D35" s="629">
        <v>134</v>
      </c>
    </row>
    <row r="36" spans="1:4" ht="25.5">
      <c r="A36" s="335" t="s">
        <v>2016</v>
      </c>
      <c r="B36" s="326" t="s">
        <v>816</v>
      </c>
      <c r="C36" s="31">
        <f t="shared" si="0"/>
        <v>228.8135593220339</v>
      </c>
      <c r="D36" s="629">
        <v>270</v>
      </c>
    </row>
    <row r="37" spans="1:4" ht="25.5">
      <c r="A37" s="335" t="s">
        <v>2017</v>
      </c>
      <c r="B37" s="326" t="s">
        <v>817</v>
      </c>
      <c r="C37" s="31">
        <f t="shared" si="0"/>
        <v>228.8135593220339</v>
      </c>
      <c r="D37" s="629">
        <v>270</v>
      </c>
    </row>
    <row r="38" spans="1:4" ht="25.5">
      <c r="A38" s="335" t="s">
        <v>2018</v>
      </c>
      <c r="B38" s="326" t="s">
        <v>818</v>
      </c>
      <c r="C38" s="31">
        <f t="shared" si="0"/>
        <v>456.77966101694915</v>
      </c>
      <c r="D38" s="629">
        <v>539</v>
      </c>
    </row>
    <row r="39" spans="1:4" ht="12.75">
      <c r="A39" s="329" t="s">
        <v>2019</v>
      </c>
      <c r="B39" s="337" t="s">
        <v>819</v>
      </c>
      <c r="C39" s="31">
        <f t="shared" si="0"/>
        <v>273.728813559322</v>
      </c>
      <c r="D39" s="629">
        <v>323</v>
      </c>
    </row>
    <row r="40" spans="1:4" ht="25.5">
      <c r="A40" s="329" t="s">
        <v>2020</v>
      </c>
      <c r="B40" s="28" t="s">
        <v>2062</v>
      </c>
      <c r="C40" s="31">
        <f t="shared" si="0"/>
        <v>273.728813559322</v>
      </c>
      <c r="D40" s="88">
        <v>323</v>
      </c>
    </row>
    <row r="41" spans="1:4" ht="15.75" customHeight="1">
      <c r="A41" s="333" t="s">
        <v>1915</v>
      </c>
      <c r="B41" s="969" t="s">
        <v>2063</v>
      </c>
      <c r="C41" s="969"/>
      <c r="D41" s="969"/>
    </row>
    <row r="42" spans="1:4" ht="15" customHeight="1">
      <c r="A42" s="329" t="s">
        <v>2021</v>
      </c>
      <c r="B42" s="950" t="s">
        <v>2064</v>
      </c>
      <c r="C42" s="950"/>
      <c r="D42" s="950"/>
    </row>
    <row r="43" spans="1:4" ht="25.5">
      <c r="A43" s="335" t="s">
        <v>2022</v>
      </c>
      <c r="B43" s="255" t="s">
        <v>2065</v>
      </c>
      <c r="C43" s="31">
        <f aca="true" t="shared" si="1" ref="C43:C67">D43/1.18</f>
        <v>46.610169491525426</v>
      </c>
      <c r="D43" s="88">
        <v>55</v>
      </c>
    </row>
    <row r="44" spans="1:4" ht="12.75">
      <c r="A44" s="335" t="s">
        <v>2023</v>
      </c>
      <c r="B44" s="255" t="s">
        <v>600</v>
      </c>
      <c r="C44" s="31">
        <f t="shared" si="1"/>
        <v>258.47457627118644</v>
      </c>
      <c r="D44" s="88">
        <v>305</v>
      </c>
    </row>
    <row r="45" spans="1:4" ht="12.75">
      <c r="A45" s="335" t="s">
        <v>2024</v>
      </c>
      <c r="B45" s="255" t="s">
        <v>601</v>
      </c>
      <c r="C45" s="31">
        <f t="shared" si="1"/>
        <v>161.86440677966104</v>
      </c>
      <c r="D45" s="88">
        <v>191</v>
      </c>
    </row>
    <row r="46" spans="1:4" ht="12.75">
      <c r="A46" s="335" t="s">
        <v>2025</v>
      </c>
      <c r="B46" s="255" t="s">
        <v>602</v>
      </c>
      <c r="C46" s="31">
        <f t="shared" si="1"/>
        <v>180.5084745762712</v>
      </c>
      <c r="D46" s="88">
        <v>213</v>
      </c>
    </row>
    <row r="47" spans="1:4" ht="25.5">
      <c r="A47" s="335" t="s">
        <v>2026</v>
      </c>
      <c r="B47" s="255" t="s">
        <v>603</v>
      </c>
      <c r="C47" s="31">
        <f t="shared" si="1"/>
        <v>211.0169491525424</v>
      </c>
      <c r="D47" s="88">
        <v>249</v>
      </c>
    </row>
    <row r="48" spans="1:4" ht="12.75">
      <c r="A48" s="335" t="s">
        <v>2027</v>
      </c>
      <c r="B48" s="255" t="s">
        <v>604</v>
      </c>
      <c r="C48" s="31">
        <f t="shared" si="1"/>
        <v>172.8813559322034</v>
      </c>
      <c r="D48" s="88">
        <v>204</v>
      </c>
    </row>
    <row r="49" spans="1:4" ht="25.5">
      <c r="A49" s="335" t="s">
        <v>2028</v>
      </c>
      <c r="B49" s="255" t="s">
        <v>605</v>
      </c>
      <c r="C49" s="31">
        <f t="shared" si="1"/>
        <v>191.52542372881356</v>
      </c>
      <c r="D49" s="88">
        <v>226</v>
      </c>
    </row>
    <row r="50" spans="1:4" ht="25.5">
      <c r="A50" s="335" t="s">
        <v>2825</v>
      </c>
      <c r="B50" s="255" t="s">
        <v>2826</v>
      </c>
      <c r="C50" s="31">
        <f t="shared" si="1"/>
        <v>491.52542372881356</v>
      </c>
      <c r="D50" s="88">
        <v>580</v>
      </c>
    </row>
    <row r="51" spans="1:4" ht="25.5">
      <c r="A51" s="329" t="s">
        <v>2029</v>
      </c>
      <c r="B51" s="28" t="s">
        <v>1474</v>
      </c>
      <c r="C51" s="31">
        <f t="shared" si="1"/>
        <v>191.52542372881356</v>
      </c>
      <c r="D51" s="88">
        <v>226</v>
      </c>
    </row>
    <row r="52" spans="1:4" ht="13.5" customHeight="1">
      <c r="A52" s="329" t="s">
        <v>2030</v>
      </c>
      <c r="B52" s="950" t="s">
        <v>536</v>
      </c>
      <c r="C52" s="950"/>
      <c r="D52" s="950"/>
    </row>
    <row r="53" spans="1:4" ht="12.75">
      <c r="A53" s="335" t="s">
        <v>2031</v>
      </c>
      <c r="B53" s="255" t="s">
        <v>537</v>
      </c>
      <c r="C53" s="31">
        <f t="shared" si="1"/>
        <v>76.27118644067797</v>
      </c>
      <c r="D53" s="88">
        <v>90</v>
      </c>
    </row>
    <row r="54" spans="1:4" ht="25.5">
      <c r="A54" s="335" t="s">
        <v>2032</v>
      </c>
      <c r="B54" s="255" t="s">
        <v>1458</v>
      </c>
      <c r="C54" s="31">
        <f t="shared" si="1"/>
        <v>252.54237288135596</v>
      </c>
      <c r="D54" s="88">
        <v>298</v>
      </c>
    </row>
    <row r="55" spans="1:4" ht="25.5">
      <c r="A55" s="329" t="s">
        <v>2033</v>
      </c>
      <c r="B55" s="28" t="s">
        <v>1459</v>
      </c>
      <c r="C55" s="31">
        <f t="shared" si="1"/>
        <v>372.8813559322034</v>
      </c>
      <c r="D55" s="88">
        <v>440</v>
      </c>
    </row>
    <row r="56" spans="1:4" ht="12.75">
      <c r="A56" s="329" t="s">
        <v>2034</v>
      </c>
      <c r="B56" s="950" t="s">
        <v>1460</v>
      </c>
      <c r="C56" s="950"/>
      <c r="D56" s="950"/>
    </row>
    <row r="57" spans="1:4" ht="25.5">
      <c r="A57" s="335" t="s">
        <v>2035</v>
      </c>
      <c r="B57" s="255" t="s">
        <v>1307</v>
      </c>
      <c r="C57" s="31">
        <f t="shared" si="1"/>
        <v>573.728813559322</v>
      </c>
      <c r="D57" s="88">
        <v>677</v>
      </c>
    </row>
    <row r="58" spans="1:4" ht="12.75" customHeight="1">
      <c r="A58" s="330" t="s">
        <v>1308</v>
      </c>
      <c r="B58" s="255" t="s">
        <v>1461</v>
      </c>
      <c r="C58" s="31">
        <f t="shared" si="1"/>
        <v>573.728813559322</v>
      </c>
      <c r="D58" s="88">
        <v>677</v>
      </c>
    </row>
    <row r="59" spans="1:4" ht="12.75">
      <c r="A59" s="330" t="s">
        <v>1309</v>
      </c>
      <c r="B59" s="255" t="s">
        <v>1462</v>
      </c>
      <c r="C59" s="31">
        <f t="shared" si="1"/>
        <v>573.728813559322</v>
      </c>
      <c r="D59" s="88">
        <v>677</v>
      </c>
    </row>
    <row r="60" spans="1:4" ht="12.75">
      <c r="A60" s="330" t="s">
        <v>1310</v>
      </c>
      <c r="B60" s="255" t="s">
        <v>1463</v>
      </c>
      <c r="C60" s="31">
        <f t="shared" si="1"/>
        <v>573.728813559322</v>
      </c>
      <c r="D60" s="88">
        <v>677</v>
      </c>
    </row>
    <row r="61" spans="1:4" ht="12.75">
      <c r="A61" s="330" t="s">
        <v>1311</v>
      </c>
      <c r="B61" s="255" t="s">
        <v>1464</v>
      </c>
      <c r="C61" s="31">
        <f t="shared" si="1"/>
        <v>573.728813559322</v>
      </c>
      <c r="D61" s="88">
        <v>677</v>
      </c>
    </row>
    <row r="62" spans="1:4" ht="12.75">
      <c r="A62" s="330" t="s">
        <v>1312</v>
      </c>
      <c r="B62" s="255" t="s">
        <v>1465</v>
      </c>
      <c r="C62" s="31">
        <f t="shared" si="1"/>
        <v>573.728813559322</v>
      </c>
      <c r="D62" s="88">
        <v>677</v>
      </c>
    </row>
    <row r="63" spans="1:4" ht="12.75">
      <c r="A63" s="361" t="s">
        <v>1313</v>
      </c>
      <c r="B63" s="453" t="s">
        <v>1466</v>
      </c>
      <c r="C63" s="695">
        <f t="shared" si="1"/>
        <v>573.728813559322</v>
      </c>
      <c r="D63" s="88">
        <v>677</v>
      </c>
    </row>
    <row r="64" spans="1:4" ht="12.75">
      <c r="A64" s="696" t="s">
        <v>1314</v>
      </c>
      <c r="B64" s="453" t="s">
        <v>1467</v>
      </c>
      <c r="C64" s="695">
        <v>74.6</v>
      </c>
      <c r="D64" s="629">
        <v>97</v>
      </c>
    </row>
    <row r="65" spans="1:4" ht="30.75" customHeight="1">
      <c r="A65" s="338" t="s">
        <v>1918</v>
      </c>
      <c r="B65" s="969" t="s">
        <v>1315</v>
      </c>
      <c r="C65" s="969"/>
      <c r="D65" s="969"/>
    </row>
    <row r="66" spans="1:4" ht="25.5">
      <c r="A66" s="339" t="s">
        <v>1316</v>
      </c>
      <c r="B66" s="255" t="s">
        <v>1068</v>
      </c>
      <c r="C66" s="31">
        <f>D66/1.18</f>
        <v>328.81355932203394</v>
      </c>
      <c r="D66" s="88">
        <v>388</v>
      </c>
    </row>
    <row r="67" spans="1:4" ht="25.5">
      <c r="A67" s="339" t="s">
        <v>1317</v>
      </c>
      <c r="B67" s="255" t="s">
        <v>1069</v>
      </c>
      <c r="C67" s="31">
        <f t="shared" si="1"/>
        <v>328.81355932203394</v>
      </c>
      <c r="D67" s="88">
        <v>388</v>
      </c>
    </row>
    <row r="69" ht="12.75" customHeight="1"/>
    <row r="71" spans="2:4" ht="15.75">
      <c r="B71" s="340" t="s">
        <v>2819</v>
      </c>
      <c r="D71" s="513" t="s">
        <v>2820</v>
      </c>
    </row>
    <row r="73" ht="12.75">
      <c r="A73" s="638"/>
    </row>
  </sheetData>
  <sheetProtection/>
  <mergeCells count="11">
    <mergeCell ref="A13:D13"/>
    <mergeCell ref="B21:D21"/>
    <mergeCell ref="B41:D41"/>
    <mergeCell ref="B42:D42"/>
    <mergeCell ref="B65:D65"/>
    <mergeCell ref="A14:D14"/>
    <mergeCell ref="A15:D15"/>
    <mergeCell ref="A16:D16"/>
    <mergeCell ref="A20:D20"/>
    <mergeCell ref="B52:D52"/>
    <mergeCell ref="B56:D56"/>
  </mergeCells>
  <printOptions/>
  <pageMargins left="0.75" right="0.75" top="0.67" bottom="0.52" header="0.5" footer="0.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rgb="FFFF0000"/>
  </sheetPr>
  <dimension ref="A1:D82"/>
  <sheetViews>
    <sheetView zoomScalePageLayoutView="0" workbookViewId="0" topLeftCell="A1">
      <selection activeCell="J17" sqref="J17"/>
    </sheetView>
  </sheetViews>
  <sheetFormatPr defaultColWidth="9.00390625" defaultRowHeight="12.75"/>
  <cols>
    <col min="1" max="1" width="7.875" style="179" customWidth="1"/>
    <col min="2" max="2" width="50.25390625" style="2" customWidth="1"/>
    <col min="3" max="3" width="14.375" style="404" customWidth="1"/>
    <col min="4" max="4" width="11.875" style="0" customWidth="1"/>
  </cols>
  <sheetData>
    <row r="1" spans="1:4" ht="12.75">
      <c r="A1" s="121"/>
      <c r="B1" s="5"/>
      <c r="C1" s="397"/>
      <c r="D1" s="4" t="s">
        <v>2664</v>
      </c>
    </row>
    <row r="2" spans="1:4" ht="12.75">
      <c r="A2" s="121"/>
      <c r="B2" s="5"/>
      <c r="C2" s="397"/>
      <c r="D2" s="81" t="s">
        <v>2822</v>
      </c>
    </row>
    <row r="3" spans="1:4" ht="12.75">
      <c r="A3" s="121"/>
      <c r="B3" s="5"/>
      <c r="C3" s="397"/>
      <c r="D3" s="81" t="s">
        <v>3556</v>
      </c>
    </row>
    <row r="4" spans="1:3" ht="15" customHeight="1">
      <c r="A4" s="121"/>
      <c r="B4" s="5"/>
      <c r="C4" s="397"/>
    </row>
    <row r="5" spans="1:4" ht="15" customHeight="1">
      <c r="A5" s="897" t="s">
        <v>3554</v>
      </c>
      <c r="B5" s="897"/>
      <c r="C5" s="897"/>
      <c r="D5" s="897"/>
    </row>
    <row r="6" spans="1:4" ht="15" customHeight="1">
      <c r="A6" s="897" t="s">
        <v>2823</v>
      </c>
      <c r="B6" s="897"/>
      <c r="C6" s="897"/>
      <c r="D6" s="897"/>
    </row>
    <row r="7" spans="1:4" s="22" customFormat="1" ht="15.75">
      <c r="A7" s="898" t="s">
        <v>1161</v>
      </c>
      <c r="B7" s="898"/>
      <c r="C7" s="898"/>
      <c r="D7" s="898"/>
    </row>
    <row r="8" spans="1:4" ht="15.75">
      <c r="A8" s="899" t="s">
        <v>3553</v>
      </c>
      <c r="B8" s="899"/>
      <c r="C8" s="899"/>
      <c r="D8" s="899"/>
    </row>
    <row r="9" ht="13.5" thickBot="1">
      <c r="C9" s="397"/>
    </row>
    <row r="10" spans="1:4" ht="26.25" thickBot="1">
      <c r="A10" s="70" t="s">
        <v>2522</v>
      </c>
      <c r="B10" s="71" t="s">
        <v>779</v>
      </c>
      <c r="C10" s="398" t="s">
        <v>336</v>
      </c>
      <c r="D10" s="73" t="s">
        <v>337</v>
      </c>
    </row>
    <row r="11" spans="1:4" ht="18" customHeight="1" thickBot="1">
      <c r="A11" s="254">
        <v>1</v>
      </c>
      <c r="B11" s="63">
        <v>2</v>
      </c>
      <c r="C11" s="399">
        <v>4</v>
      </c>
      <c r="D11" s="62">
        <v>5</v>
      </c>
    </row>
    <row r="12" spans="1:4" ht="16.5" customHeight="1" thickBot="1">
      <c r="A12" s="999" t="s">
        <v>1320</v>
      </c>
      <c r="B12" s="983"/>
      <c r="C12" s="983"/>
      <c r="D12" s="984"/>
    </row>
    <row r="13" spans="1:4" ht="15" customHeight="1" thickBot="1">
      <c r="A13" s="995" t="s">
        <v>1321</v>
      </c>
      <c r="B13" s="996"/>
      <c r="C13" s="996"/>
      <c r="D13" s="997"/>
    </row>
    <row r="14" spans="1:4" ht="13.5" thickBot="1">
      <c r="A14" s="180" t="s">
        <v>1323</v>
      </c>
      <c r="B14" s="998" t="s">
        <v>563</v>
      </c>
      <c r="C14" s="993"/>
      <c r="D14" s="994"/>
    </row>
    <row r="15" spans="1:4" ht="25.5">
      <c r="A15" s="233" t="s">
        <v>1324</v>
      </c>
      <c r="B15" s="186" t="s">
        <v>564</v>
      </c>
      <c r="C15" s="400">
        <f>138.5*1.1*1.1</f>
        <v>167.58500000000004</v>
      </c>
      <c r="D15" s="184">
        <f>C15*1.18</f>
        <v>197.75030000000004</v>
      </c>
    </row>
    <row r="16" spans="1:4" ht="38.25">
      <c r="A16" s="189" t="s">
        <v>1325</v>
      </c>
      <c r="B16" s="126" t="s">
        <v>565</v>
      </c>
      <c r="C16" s="400">
        <f>276.99*1.1*1.1</f>
        <v>335.15790000000004</v>
      </c>
      <c r="D16" s="75">
        <f aca="true" t="shared" si="0" ref="D16:D61">C16*1.18</f>
        <v>395.48632200000003</v>
      </c>
    </row>
    <row r="17" spans="1:4" ht="12.75">
      <c r="A17" s="189" t="s">
        <v>1326</v>
      </c>
      <c r="B17" s="126" t="s">
        <v>566</v>
      </c>
      <c r="C17" s="400">
        <f>96.95*1.1*1.1</f>
        <v>117.30950000000001</v>
      </c>
      <c r="D17" s="75">
        <f t="shared" si="0"/>
        <v>138.42521000000002</v>
      </c>
    </row>
    <row r="18" spans="1:4" ht="13.5" thickBot="1">
      <c r="A18" s="225" t="s">
        <v>1327</v>
      </c>
      <c r="B18" s="127" t="s">
        <v>567</v>
      </c>
      <c r="C18" s="400">
        <f>69.25*1.1*1.1</f>
        <v>83.79250000000002</v>
      </c>
      <c r="D18" s="178">
        <f t="shared" si="0"/>
        <v>98.87515000000002</v>
      </c>
    </row>
    <row r="19" spans="1:4" ht="13.5" thickBot="1">
      <c r="A19" s="180" t="s">
        <v>1322</v>
      </c>
      <c r="B19" s="998" t="s">
        <v>568</v>
      </c>
      <c r="C19" s="993"/>
      <c r="D19" s="994"/>
    </row>
    <row r="20" spans="1:4" ht="25.5">
      <c r="A20" s="233" t="s">
        <v>1328</v>
      </c>
      <c r="B20" s="186" t="s">
        <v>569</v>
      </c>
      <c r="C20" s="400">
        <f>138.5*1.1*1.1</f>
        <v>167.58500000000004</v>
      </c>
      <c r="D20" s="184">
        <f t="shared" si="0"/>
        <v>197.75030000000004</v>
      </c>
    </row>
    <row r="21" spans="1:4" ht="25.5">
      <c r="A21" s="189" t="s">
        <v>1329</v>
      </c>
      <c r="B21" s="126" t="s">
        <v>1485</v>
      </c>
      <c r="C21" s="400">
        <f>69.25*1.1*1.1</f>
        <v>83.79250000000002</v>
      </c>
      <c r="D21" s="75">
        <f t="shared" si="0"/>
        <v>98.87515000000002</v>
      </c>
    </row>
    <row r="22" spans="1:4" ht="63.75">
      <c r="A22" s="189" t="s">
        <v>1330</v>
      </c>
      <c r="B22" s="126" t="s">
        <v>2417</v>
      </c>
      <c r="C22" s="400">
        <f>69.25*1.1*1.1</f>
        <v>83.79250000000002</v>
      </c>
      <c r="D22" s="75">
        <f t="shared" si="0"/>
        <v>98.87515000000002</v>
      </c>
    </row>
    <row r="23" spans="1:4" ht="38.25">
      <c r="A23" s="189" t="s">
        <v>1331</v>
      </c>
      <c r="B23" s="126" t="s">
        <v>2416</v>
      </c>
      <c r="C23" s="400">
        <f>96.95*1.1*1.1</f>
        <v>117.30950000000001</v>
      </c>
      <c r="D23" s="75">
        <f t="shared" si="0"/>
        <v>138.42521000000002</v>
      </c>
    </row>
    <row r="24" spans="1:4" ht="38.25">
      <c r="A24" s="189" t="s">
        <v>1332</v>
      </c>
      <c r="B24" s="126" t="s">
        <v>2418</v>
      </c>
      <c r="C24" s="400">
        <f>111.49*1.1*1.1</f>
        <v>134.90290000000002</v>
      </c>
      <c r="D24" s="75">
        <f t="shared" si="0"/>
        <v>159.18542200000002</v>
      </c>
    </row>
    <row r="25" spans="1:4" ht="12.75">
      <c r="A25" s="189" t="s">
        <v>1333</v>
      </c>
      <c r="B25" s="126" t="s">
        <v>1486</v>
      </c>
      <c r="C25" s="400">
        <f>79.64*1.1*1.1</f>
        <v>96.36440000000002</v>
      </c>
      <c r="D25" s="75">
        <f t="shared" si="0"/>
        <v>113.70999200000001</v>
      </c>
    </row>
    <row r="26" spans="1:4" ht="12.75">
      <c r="A26" s="189" t="s">
        <v>1334</v>
      </c>
      <c r="B26" s="126" t="s">
        <v>1487</v>
      </c>
      <c r="C26" s="400">
        <f>4154.9*1.1*1.1</f>
        <v>5027.429000000001</v>
      </c>
      <c r="D26" s="75">
        <f t="shared" si="0"/>
        <v>5932.366220000001</v>
      </c>
    </row>
    <row r="27" spans="1:4" ht="38.25">
      <c r="A27" s="189" t="s">
        <v>1335</v>
      </c>
      <c r="B27" s="126" t="s">
        <v>2419</v>
      </c>
      <c r="C27" s="400">
        <f>138.5*1.1*1.1</f>
        <v>167.58500000000004</v>
      </c>
      <c r="D27" s="75">
        <f t="shared" si="0"/>
        <v>197.75030000000004</v>
      </c>
    </row>
    <row r="28" spans="1:4" ht="25.5">
      <c r="A28" s="189" t="s">
        <v>1336</v>
      </c>
      <c r="B28" s="126" t="s">
        <v>835</v>
      </c>
      <c r="C28" s="400">
        <f>415.49*1.1*1.1</f>
        <v>502.7429000000001</v>
      </c>
      <c r="D28" s="75">
        <f t="shared" si="0"/>
        <v>593.236622</v>
      </c>
    </row>
    <row r="29" spans="1:4" ht="25.5">
      <c r="A29" s="189" t="s">
        <v>1337</v>
      </c>
      <c r="B29" s="126" t="s">
        <v>2317</v>
      </c>
      <c r="C29" s="400">
        <f>692.48*1.1*1.1</f>
        <v>837.9008000000001</v>
      </c>
      <c r="D29" s="75">
        <f t="shared" si="0"/>
        <v>988.7229440000001</v>
      </c>
    </row>
    <row r="30" spans="1:4" ht="25.5">
      <c r="A30" s="189" t="s">
        <v>702</v>
      </c>
      <c r="B30" s="126" t="s">
        <v>836</v>
      </c>
      <c r="C30" s="400">
        <f>276.99*1.1*1.1</f>
        <v>335.15790000000004</v>
      </c>
      <c r="D30" s="75">
        <f t="shared" si="0"/>
        <v>395.48632200000003</v>
      </c>
    </row>
    <row r="31" spans="1:4" ht="13.5" thickBot="1">
      <c r="A31" s="225" t="s">
        <v>1338</v>
      </c>
      <c r="B31" s="127" t="s">
        <v>837</v>
      </c>
      <c r="C31" s="400">
        <f>276.99*1.1*1.1</f>
        <v>335.15790000000004</v>
      </c>
      <c r="D31" s="178">
        <f t="shared" si="0"/>
        <v>395.48632200000003</v>
      </c>
    </row>
    <row r="32" spans="1:4" ht="13.5" thickBot="1">
      <c r="A32" s="180" t="s">
        <v>1339</v>
      </c>
      <c r="B32" s="993" t="s">
        <v>838</v>
      </c>
      <c r="C32" s="1000"/>
      <c r="D32" s="994"/>
    </row>
    <row r="33" spans="1:4" s="364" customFormat="1" ht="12.75">
      <c r="A33" s="782" t="s">
        <v>1340</v>
      </c>
      <c r="B33" s="783" t="s">
        <v>839</v>
      </c>
      <c r="C33" s="394">
        <f>69.25*1.1*1.1</f>
        <v>83.79250000000002</v>
      </c>
      <c r="D33" s="597">
        <f t="shared" si="0"/>
        <v>98.87515000000002</v>
      </c>
    </row>
    <row r="34" spans="1:4" s="364" customFormat="1" ht="12.75">
      <c r="A34" s="774" t="s">
        <v>1341</v>
      </c>
      <c r="B34" s="775" t="s">
        <v>2321</v>
      </c>
      <c r="C34" s="394">
        <f>526.29*1.1*1.1</f>
        <v>636.8109000000001</v>
      </c>
      <c r="D34" s="366">
        <f t="shared" si="0"/>
        <v>751.436862</v>
      </c>
    </row>
    <row r="35" spans="1:4" s="364" customFormat="1" ht="12.75">
      <c r="A35" s="774" t="s">
        <v>1342</v>
      </c>
      <c r="B35" s="775" t="s">
        <v>2322</v>
      </c>
      <c r="C35" s="394">
        <f>623.23*1.1*1.1</f>
        <v>754.1083000000002</v>
      </c>
      <c r="D35" s="366">
        <f t="shared" si="0"/>
        <v>889.8477940000002</v>
      </c>
    </row>
    <row r="36" spans="1:4" s="364" customFormat="1" ht="25.5">
      <c r="A36" s="774" t="s">
        <v>1343</v>
      </c>
      <c r="B36" s="775" t="s">
        <v>2323</v>
      </c>
      <c r="C36" s="394">
        <f>415.49*1.1*1.1</f>
        <v>502.7429000000001</v>
      </c>
      <c r="D36" s="366">
        <f t="shared" si="0"/>
        <v>593.236622</v>
      </c>
    </row>
    <row r="37" spans="1:4" s="364" customFormat="1" ht="25.5">
      <c r="A37" s="774" t="s">
        <v>1344</v>
      </c>
      <c r="B37" s="775" t="s">
        <v>2187</v>
      </c>
      <c r="C37" s="394">
        <f>526.29*1.1*1.1</f>
        <v>636.8109000000001</v>
      </c>
      <c r="D37" s="366">
        <f t="shared" si="0"/>
        <v>751.436862</v>
      </c>
    </row>
    <row r="38" spans="1:4" ht="25.5">
      <c r="A38" s="189" t="s">
        <v>1345</v>
      </c>
      <c r="B38" s="126" t="s">
        <v>2188</v>
      </c>
      <c r="C38" s="394">
        <f>526.29*1.1*1.1</f>
        <v>636.8109000000001</v>
      </c>
      <c r="D38" s="75">
        <f t="shared" si="0"/>
        <v>751.436862</v>
      </c>
    </row>
    <row r="39" spans="1:4" ht="12.75">
      <c r="A39" s="189" t="s">
        <v>1346</v>
      </c>
      <c r="B39" s="126" t="s">
        <v>2490</v>
      </c>
      <c r="C39" s="394">
        <f>207.74*1.1*1.1</f>
        <v>251.36540000000005</v>
      </c>
      <c r="D39" s="75">
        <f t="shared" si="0"/>
        <v>296.61117200000007</v>
      </c>
    </row>
    <row r="40" spans="1:4" ht="12.75">
      <c r="A40" s="189" t="s">
        <v>1347</v>
      </c>
      <c r="B40" s="126" t="s">
        <v>2324</v>
      </c>
      <c r="C40" s="394">
        <f>565.07*1.1*1.1</f>
        <v>683.7347000000002</v>
      </c>
      <c r="D40" s="75">
        <f t="shared" si="0"/>
        <v>806.8069460000002</v>
      </c>
    </row>
    <row r="41" spans="1:4" ht="13.5">
      <c r="A41" s="189" t="s">
        <v>1348</v>
      </c>
      <c r="B41" s="1001" t="s">
        <v>2489</v>
      </c>
      <c r="C41" s="1001"/>
      <c r="D41" s="1002"/>
    </row>
    <row r="42" spans="1:4" ht="25.5">
      <c r="A42" s="268" t="s">
        <v>1349</v>
      </c>
      <c r="B42" s="253" t="s">
        <v>2944</v>
      </c>
      <c r="C42" s="394">
        <f>1661.96*1.1*1.1</f>
        <v>2010.9716000000003</v>
      </c>
      <c r="D42" s="75">
        <f t="shared" si="0"/>
        <v>2372.946488</v>
      </c>
    </row>
    <row r="43" spans="1:4" ht="44.25">
      <c r="A43" s="268" t="s">
        <v>1350</v>
      </c>
      <c r="B43" s="253" t="s">
        <v>2945</v>
      </c>
      <c r="C43" s="394">
        <f>6924.83*1.1*1.1</f>
        <v>8379.044300000001</v>
      </c>
      <c r="D43" s="75">
        <f t="shared" si="0"/>
        <v>9887.272274</v>
      </c>
    </row>
    <row r="44" spans="1:4" ht="44.25">
      <c r="A44" s="268" t="s">
        <v>1351</v>
      </c>
      <c r="B44" s="253" t="s">
        <v>2946</v>
      </c>
      <c r="C44" s="394">
        <f>7755.8*1.1*1.1</f>
        <v>9384.518000000002</v>
      </c>
      <c r="D44" s="75">
        <f aca="true" t="shared" si="1" ref="D44:D50">C44*1.18</f>
        <v>11073.731240000001</v>
      </c>
    </row>
    <row r="45" spans="1:4" ht="25.5">
      <c r="A45" s="268" t="s">
        <v>1352</v>
      </c>
      <c r="B45" s="253" t="s">
        <v>2947</v>
      </c>
      <c r="C45" s="394">
        <f>2769.93*1.1*1.1</f>
        <v>3351.6153000000004</v>
      </c>
      <c r="D45" s="75">
        <f t="shared" si="1"/>
        <v>3954.906054</v>
      </c>
    </row>
    <row r="46" spans="1:4" ht="57">
      <c r="A46" s="268" t="s">
        <v>2939</v>
      </c>
      <c r="B46" s="253" t="s">
        <v>2948</v>
      </c>
      <c r="C46" s="394">
        <f>1384.97*1.1*1.1</f>
        <v>1675.8137000000002</v>
      </c>
      <c r="D46" s="75">
        <f t="shared" si="1"/>
        <v>1977.460166</v>
      </c>
    </row>
    <row r="47" spans="1:4" ht="25.5">
      <c r="A47" s="268" t="s">
        <v>2940</v>
      </c>
      <c r="B47" s="253" t="s">
        <v>2949</v>
      </c>
      <c r="C47" s="394">
        <f>830.98*1.1*1.1</f>
        <v>1005.4858000000002</v>
      </c>
      <c r="D47" s="75">
        <f t="shared" si="1"/>
        <v>1186.473244</v>
      </c>
    </row>
    <row r="48" spans="1:4" ht="28.5">
      <c r="A48" s="268" t="s">
        <v>2941</v>
      </c>
      <c r="B48" s="253" t="s">
        <v>2950</v>
      </c>
      <c r="C48" s="394">
        <f>2492.94*1.1*1.1</f>
        <v>3016.4574000000007</v>
      </c>
      <c r="D48" s="75">
        <f t="shared" si="1"/>
        <v>3559.4197320000007</v>
      </c>
    </row>
    <row r="49" spans="1:4" ht="28.5">
      <c r="A49" s="335" t="s">
        <v>2942</v>
      </c>
      <c r="B49" s="253" t="s">
        <v>2951</v>
      </c>
      <c r="C49" s="691">
        <f>2769.93*1.1*1.1</f>
        <v>3351.6153000000004</v>
      </c>
      <c r="D49" s="75">
        <f t="shared" si="1"/>
        <v>3954.906054</v>
      </c>
    </row>
    <row r="50" spans="1:4" ht="42" thickBot="1">
      <c r="A50" s="335" t="s">
        <v>2943</v>
      </c>
      <c r="B50" s="253" t="s">
        <v>2952</v>
      </c>
      <c r="C50" s="691">
        <f>1384.97*1.1*1.1</f>
        <v>1675.8137000000002</v>
      </c>
      <c r="D50" s="75">
        <f t="shared" si="1"/>
        <v>1977.460166</v>
      </c>
    </row>
    <row r="51" spans="1:4" ht="13.5" thickBot="1">
      <c r="A51" s="379" t="s">
        <v>1353</v>
      </c>
      <c r="B51" s="992" t="s">
        <v>2491</v>
      </c>
      <c r="C51" s="993"/>
      <c r="D51" s="994"/>
    </row>
    <row r="52" spans="1:4" ht="25.5">
      <c r="A52" s="233" t="s">
        <v>1354</v>
      </c>
      <c r="B52" s="241" t="s">
        <v>2492</v>
      </c>
      <c r="C52" s="400">
        <f>276.99*1.1*1.1</f>
        <v>335.15790000000004</v>
      </c>
      <c r="D52" s="184">
        <f t="shared" si="0"/>
        <v>395.48632200000003</v>
      </c>
    </row>
    <row r="53" spans="1:4" ht="25.5">
      <c r="A53" s="189" t="s">
        <v>1355</v>
      </c>
      <c r="B53" s="124" t="s">
        <v>2493</v>
      </c>
      <c r="C53" s="400">
        <f>69.25*1.1*1.1</f>
        <v>83.79250000000002</v>
      </c>
      <c r="D53" s="75">
        <f t="shared" si="0"/>
        <v>98.87515000000002</v>
      </c>
    </row>
    <row r="54" spans="1:4" ht="25.5">
      <c r="A54" s="189" t="s">
        <v>1356</v>
      </c>
      <c r="B54" s="124" t="s">
        <v>2494</v>
      </c>
      <c r="C54" s="400">
        <f>69.25*1.1*1.1</f>
        <v>83.79250000000002</v>
      </c>
      <c r="D54" s="75">
        <f t="shared" si="0"/>
        <v>98.87515000000002</v>
      </c>
    </row>
    <row r="55" spans="1:4" ht="25.5">
      <c r="A55" s="189" t="s">
        <v>1357</v>
      </c>
      <c r="B55" s="124" t="s">
        <v>2495</v>
      </c>
      <c r="C55" s="400">
        <f>138.5*1.1*1.1</f>
        <v>167.58500000000004</v>
      </c>
      <c r="D55" s="75">
        <f t="shared" si="0"/>
        <v>197.75030000000004</v>
      </c>
    </row>
    <row r="56" spans="1:4" ht="63.75">
      <c r="A56" s="189" t="s">
        <v>1358</v>
      </c>
      <c r="B56" s="124" t="s">
        <v>2304</v>
      </c>
      <c r="C56" s="400">
        <f>1384.97*1.1*1.1</f>
        <v>1675.8137000000002</v>
      </c>
      <c r="D56" s="75">
        <f t="shared" si="0"/>
        <v>1977.460166</v>
      </c>
    </row>
    <row r="57" spans="1:4" ht="12.75">
      <c r="A57" s="239" t="s">
        <v>1359</v>
      </c>
      <c r="B57" s="124" t="s">
        <v>2305</v>
      </c>
      <c r="C57" s="400">
        <f>2769.93*1.1*1.1</f>
        <v>3351.6153000000004</v>
      </c>
      <c r="D57" s="75">
        <f t="shared" si="0"/>
        <v>3954.906054</v>
      </c>
    </row>
    <row r="58" spans="1:4" ht="13.5" thickBot="1">
      <c r="A58" s="234" t="s">
        <v>1360</v>
      </c>
      <c r="B58" s="315" t="s">
        <v>2306</v>
      </c>
      <c r="C58" s="400">
        <f>4154.9*1.1*1.1</f>
        <v>5027.429000000001</v>
      </c>
      <c r="D58" s="240">
        <f t="shared" si="0"/>
        <v>5932.366220000001</v>
      </c>
    </row>
    <row r="59" spans="1:4" ht="13.5" thickBot="1">
      <c r="A59" s="232" t="s">
        <v>1361</v>
      </c>
      <c r="B59" s="960" t="s">
        <v>2307</v>
      </c>
      <c r="C59" s="960"/>
      <c r="D59" s="961"/>
    </row>
    <row r="60" spans="1:4" ht="25.5">
      <c r="A60" s="233" t="s">
        <v>1362</v>
      </c>
      <c r="B60" s="241" t="s">
        <v>2308</v>
      </c>
      <c r="C60" s="400">
        <f>415.49*1.1*1.1</f>
        <v>502.7429000000001</v>
      </c>
      <c r="D60" s="184">
        <f>C60*1.18</f>
        <v>593.236622</v>
      </c>
    </row>
    <row r="61" spans="1:4" s="364" customFormat="1" ht="30.75" customHeight="1" thickBot="1">
      <c r="A61" s="780" t="s">
        <v>1363</v>
      </c>
      <c r="B61" s="781" t="s">
        <v>2415</v>
      </c>
      <c r="C61" s="400">
        <f>276.99*1.1*1.1</f>
        <v>335.15790000000004</v>
      </c>
      <c r="D61" s="650">
        <f t="shared" si="0"/>
        <v>395.48632200000003</v>
      </c>
    </row>
    <row r="62" spans="1:4" ht="33.75" customHeight="1" thickBot="1">
      <c r="A62" s="249" t="s">
        <v>1922</v>
      </c>
      <c r="B62" s="988" t="s">
        <v>641</v>
      </c>
      <c r="C62" s="988"/>
      <c r="D62" s="989"/>
    </row>
    <row r="63" spans="1:4" ht="26.25" customHeight="1">
      <c r="A63" s="128" t="s">
        <v>1364</v>
      </c>
      <c r="B63" s="245" t="s">
        <v>642</v>
      </c>
      <c r="C63" s="401">
        <f>3110.37*1.3*1.1</f>
        <v>4447.829100000001</v>
      </c>
      <c r="D63" s="92">
        <f>C63*1.18</f>
        <v>5248.438338000001</v>
      </c>
    </row>
    <row r="64" spans="1:4" ht="38.25" customHeight="1">
      <c r="A64" s="129" t="s">
        <v>1365</v>
      </c>
      <c r="B64" s="246" t="s">
        <v>643</v>
      </c>
      <c r="C64" s="401">
        <f>3999.04*1.3*1.1</f>
        <v>5718.627200000001</v>
      </c>
      <c r="D64" s="91">
        <f>C64*1.18</f>
        <v>6747.980096</v>
      </c>
    </row>
    <row r="65" spans="1:4" ht="15" customHeight="1">
      <c r="A65" s="129" t="s">
        <v>1366</v>
      </c>
      <c r="B65" s="246" t="s">
        <v>644</v>
      </c>
      <c r="C65" s="401">
        <f>3999.04*1.3*1.1</f>
        <v>5718.627200000001</v>
      </c>
      <c r="D65" s="91">
        <f>C65*1.18</f>
        <v>6747.980096</v>
      </c>
    </row>
    <row r="66" spans="1:4" ht="15.75" customHeight="1">
      <c r="A66" s="129" t="s">
        <v>1367</v>
      </c>
      <c r="B66" s="246" t="s">
        <v>2363</v>
      </c>
      <c r="C66" s="401">
        <f>3999.04*1.3*1.1</f>
        <v>5718.627200000001</v>
      </c>
      <c r="D66" s="91">
        <f>C66*1.18</f>
        <v>6747.980096</v>
      </c>
    </row>
    <row r="67" spans="1:4" ht="13.5" thickBot="1">
      <c r="A67" s="130" t="s">
        <v>1368</v>
      </c>
      <c r="B67" s="247" t="s">
        <v>2679</v>
      </c>
      <c r="C67" s="401">
        <f>2666.03*1.3*1.1</f>
        <v>3812.422900000001</v>
      </c>
      <c r="D67" s="108">
        <f>C67*1.18</f>
        <v>4498.659022000001</v>
      </c>
    </row>
    <row r="68" spans="1:4" ht="18.75" customHeight="1" thickBot="1">
      <c r="A68" s="250" t="s">
        <v>1924</v>
      </c>
      <c r="B68" s="990" t="s">
        <v>2366</v>
      </c>
      <c r="C68" s="990"/>
      <c r="D68" s="991"/>
    </row>
    <row r="69" spans="1:4" ht="30.75" customHeight="1" thickBot="1">
      <c r="A69" s="327" t="s">
        <v>1369</v>
      </c>
      <c r="B69" s="248" t="s">
        <v>2367</v>
      </c>
      <c r="C69" s="402">
        <f>79.63*1.1*1.1</f>
        <v>96.35230000000001</v>
      </c>
      <c r="D69" s="108">
        <f>C69*1.18</f>
        <v>113.69571400000001</v>
      </c>
    </row>
    <row r="70" spans="1:4" ht="16.5" thickBot="1">
      <c r="A70" s="180" t="s">
        <v>1927</v>
      </c>
      <c r="B70" s="986" t="s">
        <v>1070</v>
      </c>
      <c r="C70" s="986"/>
      <c r="D70" s="987"/>
    </row>
    <row r="71" spans="1:4" ht="25.5">
      <c r="A71" s="199" t="s">
        <v>1370</v>
      </c>
      <c r="B71" s="713" t="s">
        <v>1488</v>
      </c>
      <c r="C71" s="714">
        <f>138.5*1.1*1.1</f>
        <v>167.58500000000004</v>
      </c>
      <c r="D71" s="77">
        <f aca="true" t="shared" si="2" ref="D71:D76">C71*1.18</f>
        <v>197.75030000000004</v>
      </c>
    </row>
    <row r="72" spans="1:4" ht="12.75">
      <c r="A72" s="189" t="s">
        <v>1371</v>
      </c>
      <c r="B72" s="440" t="s">
        <v>567</v>
      </c>
      <c r="C72" s="394">
        <f>69.25*1.1*1.1</f>
        <v>83.79250000000002</v>
      </c>
      <c r="D72" s="75">
        <f t="shared" si="2"/>
        <v>98.87515000000002</v>
      </c>
    </row>
    <row r="73" spans="1:4" ht="12.75">
      <c r="A73" s="189" t="s">
        <v>1372</v>
      </c>
      <c r="B73" s="440" t="s">
        <v>2322</v>
      </c>
      <c r="C73" s="394">
        <f>623.23*1.1*1.1</f>
        <v>754.1083000000002</v>
      </c>
      <c r="D73" s="75">
        <f t="shared" si="2"/>
        <v>889.8477940000002</v>
      </c>
    </row>
    <row r="74" spans="1:4" ht="12.75">
      <c r="A74" s="189" t="s">
        <v>1373</v>
      </c>
      <c r="B74" s="440" t="s">
        <v>2324</v>
      </c>
      <c r="C74" s="394">
        <f>565.07*1.1*1.1</f>
        <v>683.7347000000002</v>
      </c>
      <c r="D74" s="75">
        <f t="shared" si="2"/>
        <v>806.8069460000002</v>
      </c>
    </row>
    <row r="75" spans="1:4" ht="25.5">
      <c r="A75" s="189" t="s">
        <v>1374</v>
      </c>
      <c r="B75" s="440" t="s">
        <v>2415</v>
      </c>
      <c r="C75" s="394">
        <f>276.99*1.1*1.1</f>
        <v>335.15790000000004</v>
      </c>
      <c r="D75" s="75">
        <f t="shared" si="2"/>
        <v>395.48632200000003</v>
      </c>
    </row>
    <row r="76" spans="1:4" ht="25.5">
      <c r="A76" s="234" t="s">
        <v>1375</v>
      </c>
      <c r="B76" s="715" t="s">
        <v>2308</v>
      </c>
      <c r="C76" s="712">
        <f>415.49*1.1*1.1</f>
        <v>502.7429000000001</v>
      </c>
      <c r="D76" s="240">
        <f t="shared" si="2"/>
        <v>593.236622</v>
      </c>
    </row>
    <row r="77" spans="1:4" ht="45" customHeight="1" thickBot="1">
      <c r="A77" s="225" t="s">
        <v>2622</v>
      </c>
      <c r="B77" s="716" t="s">
        <v>2623</v>
      </c>
      <c r="C77" s="717">
        <f>1384.97*1.1*1.1</f>
        <v>1675.8137000000002</v>
      </c>
      <c r="D77" s="19">
        <f>C77*1.18</f>
        <v>1977.460166</v>
      </c>
    </row>
    <row r="78" ht="12.75">
      <c r="C78" s="397"/>
    </row>
    <row r="79" spans="2:4" ht="14.25">
      <c r="B79" s="85"/>
      <c r="D79" s="549"/>
    </row>
    <row r="81" spans="2:3" ht="15.75">
      <c r="B81" s="66"/>
      <c r="C81" s="403"/>
    </row>
    <row r="82" spans="2:4" ht="15.75">
      <c r="B82" s="340" t="s">
        <v>2819</v>
      </c>
      <c r="D82" s="515" t="s">
        <v>2820</v>
      </c>
    </row>
  </sheetData>
  <sheetProtection/>
  <mergeCells count="15">
    <mergeCell ref="B32:D32"/>
    <mergeCell ref="B41:D41"/>
    <mergeCell ref="A5:D5"/>
    <mergeCell ref="A7:D7"/>
    <mergeCell ref="A6:D6"/>
    <mergeCell ref="B70:D70"/>
    <mergeCell ref="B59:D59"/>
    <mergeCell ref="B62:D62"/>
    <mergeCell ref="B68:D68"/>
    <mergeCell ref="A8:D8"/>
    <mergeCell ref="B51:D51"/>
    <mergeCell ref="A13:D13"/>
    <mergeCell ref="B14:D14"/>
    <mergeCell ref="B19:D19"/>
    <mergeCell ref="A12:D12"/>
  </mergeCells>
  <printOptions/>
  <pageMargins left="0.8267716535433072" right="0.4724409448818898" top="0.9448818897637796" bottom="0.7480314960629921"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8:F48"/>
  <sheetViews>
    <sheetView zoomScalePageLayoutView="0" workbookViewId="0" topLeftCell="A8">
      <selection activeCell="F24" sqref="F24"/>
    </sheetView>
  </sheetViews>
  <sheetFormatPr defaultColWidth="9.00390625" defaultRowHeight="12.75"/>
  <cols>
    <col min="1" max="1" width="7.625" style="179" customWidth="1"/>
    <col min="2" max="2" width="50.625" style="2" customWidth="1"/>
    <col min="3" max="3" width="12.00390625" style="364" customWidth="1"/>
    <col min="4" max="4" width="14.125" style="0" customWidth="1"/>
    <col min="5" max="5" width="12.25390625" style="0" customWidth="1"/>
  </cols>
  <sheetData>
    <row r="1" ht="12.75" hidden="1"/>
    <row r="2" ht="12.75" hidden="1"/>
    <row r="3" ht="12.75" hidden="1"/>
    <row r="4" ht="12.75" hidden="1"/>
    <row r="5" ht="12.75" hidden="1"/>
    <row r="6" ht="12.75" hidden="1"/>
    <row r="7" ht="12.75" hidden="1"/>
    <row r="8" spans="1:4" ht="12.75">
      <c r="A8" s="121"/>
      <c r="B8" s="5"/>
      <c r="D8" s="4" t="s">
        <v>2663</v>
      </c>
    </row>
    <row r="9" spans="1:4" ht="12.75">
      <c r="A9" s="121"/>
      <c r="B9" s="5"/>
      <c r="D9" s="81" t="s">
        <v>2822</v>
      </c>
    </row>
    <row r="10" spans="1:4" ht="12.75">
      <c r="A10" s="121"/>
      <c r="B10" s="5"/>
      <c r="D10" s="81" t="s">
        <v>3556</v>
      </c>
    </row>
    <row r="11" spans="1:4" ht="12.75">
      <c r="A11" s="121"/>
      <c r="B11" s="5"/>
      <c r="D11" s="251"/>
    </row>
    <row r="12" spans="1:4" ht="12.75">
      <c r="A12" s="121"/>
      <c r="B12" s="5"/>
      <c r="D12" s="48"/>
    </row>
    <row r="13" spans="1:5" ht="15" customHeight="1">
      <c r="A13" s="897" t="s">
        <v>3551</v>
      </c>
      <c r="B13" s="897"/>
      <c r="C13" s="897"/>
      <c r="D13" s="897"/>
      <c r="E13" s="214"/>
    </row>
    <row r="14" spans="1:5" ht="15" customHeight="1">
      <c r="A14" s="897" t="s">
        <v>2823</v>
      </c>
      <c r="B14" s="897"/>
      <c r="C14" s="897"/>
      <c r="D14" s="897"/>
      <c r="E14" s="214"/>
    </row>
    <row r="15" spans="1:5" ht="15" customHeight="1">
      <c r="A15" s="898" t="s">
        <v>1161</v>
      </c>
      <c r="B15" s="898"/>
      <c r="C15" s="898"/>
      <c r="D15" s="898"/>
      <c r="E15" s="215"/>
    </row>
    <row r="16" spans="1:6" s="22" customFormat="1" ht="15.75">
      <c r="A16" s="899" t="s">
        <v>3553</v>
      </c>
      <c r="B16" s="899"/>
      <c r="C16" s="899"/>
      <c r="D16" s="899"/>
      <c r="E16" s="216"/>
      <c r="F16" s="216"/>
    </row>
    <row r="18" spans="1:4" ht="25.5">
      <c r="A18" s="335" t="s">
        <v>2522</v>
      </c>
      <c r="B18" s="405" t="s">
        <v>779</v>
      </c>
      <c r="C18" s="516" t="s">
        <v>336</v>
      </c>
      <c r="D18" s="492" t="s">
        <v>337</v>
      </c>
    </row>
    <row r="19" spans="1:4" ht="12.75">
      <c r="A19" s="405">
        <v>1</v>
      </c>
      <c r="B19" s="405">
        <v>2</v>
      </c>
      <c r="C19" s="517">
        <v>4</v>
      </c>
      <c r="D19" s="492">
        <v>5</v>
      </c>
    </row>
    <row r="20" spans="1:4" ht="19.5" customHeight="1">
      <c r="A20" s="1003" t="s">
        <v>1376</v>
      </c>
      <c r="B20" s="1003"/>
      <c r="C20" s="1003"/>
      <c r="D20" s="1003"/>
    </row>
    <row r="21" spans="1:5" s="344" customFormat="1" ht="12.75">
      <c r="A21" s="518" t="s">
        <v>2881</v>
      </c>
      <c r="B21" s="322" t="s">
        <v>2900</v>
      </c>
      <c r="C21" s="394">
        <f>249.29*1.1*1.1</f>
        <v>301.64090000000004</v>
      </c>
      <c r="D21" s="19">
        <f>C21*1.18</f>
        <v>355.93626200000006</v>
      </c>
      <c r="E21" s="343"/>
    </row>
    <row r="22" spans="1:5" ht="25.5">
      <c r="A22" s="518" t="s">
        <v>2882</v>
      </c>
      <c r="B22" s="322" t="s">
        <v>1081</v>
      </c>
      <c r="C22" s="394">
        <f>83.1*1.1*1.1</f>
        <v>100.551</v>
      </c>
      <c r="D22" s="19">
        <f aca="true" t="shared" si="0" ref="D22:D37">C22*1.18</f>
        <v>118.65017999999999</v>
      </c>
      <c r="E22" s="94"/>
    </row>
    <row r="23" spans="1:5" ht="25.5">
      <c r="A23" s="518" t="s">
        <v>2883</v>
      </c>
      <c r="B23" s="322" t="s">
        <v>2953</v>
      </c>
      <c r="C23" s="394">
        <f>249.29*1.1*1.1</f>
        <v>301.64090000000004</v>
      </c>
      <c r="D23" s="19">
        <f t="shared" si="0"/>
        <v>355.93626200000006</v>
      </c>
      <c r="E23" s="94"/>
    </row>
    <row r="24" spans="1:5" ht="12.75">
      <c r="A24" s="518" t="s">
        <v>2884</v>
      </c>
      <c r="B24" s="322" t="s">
        <v>812</v>
      </c>
      <c r="C24" s="394">
        <f>498.59*1.1*1.1</f>
        <v>603.2939000000001</v>
      </c>
      <c r="D24" s="19">
        <f>C24*1.18</f>
        <v>711.8868020000001</v>
      </c>
      <c r="E24" s="94"/>
    </row>
    <row r="25" spans="1:5" s="364" customFormat="1" ht="12.75">
      <c r="A25" s="615" t="s">
        <v>2885</v>
      </c>
      <c r="B25" s="362" t="s">
        <v>2906</v>
      </c>
      <c r="C25" s="394">
        <f>997.17*1.1*1.1</f>
        <v>1206.5757</v>
      </c>
      <c r="D25" s="363">
        <f>C25*1.18</f>
        <v>1423.759326</v>
      </c>
      <c r="E25" s="616"/>
    </row>
    <row r="26" spans="1:5" ht="12.75">
      <c r="A26" s="518" t="s">
        <v>2886</v>
      </c>
      <c r="B26" s="322" t="s">
        <v>589</v>
      </c>
      <c r="C26" s="394">
        <f>498.59*1.1*1.1</f>
        <v>603.2939000000001</v>
      </c>
      <c r="D26" s="19">
        <f t="shared" si="0"/>
        <v>711.8868020000001</v>
      </c>
      <c r="E26" s="94"/>
    </row>
    <row r="27" spans="1:5" ht="25.5">
      <c r="A27" s="518" t="s">
        <v>2887</v>
      </c>
      <c r="B27" s="322" t="s">
        <v>2880</v>
      </c>
      <c r="C27" s="394">
        <f>747.88*1.1*1.1</f>
        <v>904.9348000000001</v>
      </c>
      <c r="D27" s="19">
        <f t="shared" si="0"/>
        <v>1067.8230640000002</v>
      </c>
      <c r="E27" s="94"/>
    </row>
    <row r="28" spans="1:5" ht="12.75">
      <c r="A28" s="518" t="s">
        <v>2888</v>
      </c>
      <c r="B28" s="322" t="s">
        <v>1027</v>
      </c>
      <c r="C28" s="394">
        <f>3988.7*1.1*1.1</f>
        <v>4826.327</v>
      </c>
      <c r="D28" s="19">
        <f t="shared" si="0"/>
        <v>5695.06586</v>
      </c>
      <c r="E28" s="94"/>
    </row>
    <row r="29" spans="1:5" ht="25.5">
      <c r="A29" s="518" t="s">
        <v>2889</v>
      </c>
      <c r="B29" s="322" t="s">
        <v>1028</v>
      </c>
      <c r="C29" s="394">
        <f>2659.13*1.1*1.1</f>
        <v>3217.547300000001</v>
      </c>
      <c r="D29" s="19">
        <f t="shared" si="0"/>
        <v>3796.7058140000013</v>
      </c>
      <c r="E29" s="94"/>
    </row>
    <row r="30" spans="1:5" ht="12.75">
      <c r="A30" s="518" t="s">
        <v>2890</v>
      </c>
      <c r="B30" s="322" t="s">
        <v>607</v>
      </c>
      <c r="C30" s="394">
        <f>830.98*1.1*1.1</f>
        <v>1005.4858000000002</v>
      </c>
      <c r="D30" s="19">
        <f t="shared" si="0"/>
        <v>1186.473244</v>
      </c>
      <c r="E30" s="94"/>
    </row>
    <row r="31" spans="1:5" ht="12.75">
      <c r="A31" s="518" t="s">
        <v>2891</v>
      </c>
      <c r="B31" s="322" t="s">
        <v>1086</v>
      </c>
      <c r="C31" s="394">
        <f>498.59*1.1*1.1</f>
        <v>603.2939000000001</v>
      </c>
      <c r="D31" s="19">
        <f t="shared" si="0"/>
        <v>711.8868020000001</v>
      </c>
      <c r="E31" s="94"/>
    </row>
    <row r="32" spans="1:5" ht="12.75">
      <c r="A32" s="518" t="s">
        <v>2892</v>
      </c>
      <c r="B32" s="322" t="s">
        <v>1302</v>
      </c>
      <c r="C32" s="394">
        <f>166.2*1.1*1.1</f>
        <v>201.102</v>
      </c>
      <c r="D32" s="19">
        <f t="shared" si="0"/>
        <v>237.30035999999998</v>
      </c>
      <c r="E32" s="94"/>
    </row>
    <row r="33" spans="1:5" ht="25.5">
      <c r="A33" s="518" t="s">
        <v>2893</v>
      </c>
      <c r="B33" s="322" t="s">
        <v>1303</v>
      </c>
      <c r="C33" s="394">
        <f>132.96*1.1*1.1</f>
        <v>160.88160000000005</v>
      </c>
      <c r="D33" s="19">
        <f t="shared" si="0"/>
        <v>189.84028800000004</v>
      </c>
      <c r="E33" s="94"/>
    </row>
    <row r="34" spans="1:5" ht="12.75">
      <c r="A34" s="518" t="s">
        <v>2894</v>
      </c>
      <c r="B34" s="322" t="s">
        <v>546</v>
      </c>
      <c r="C34" s="394">
        <f>132.96*1.1*1.1</f>
        <v>160.88160000000005</v>
      </c>
      <c r="D34" s="19">
        <f>C34*1.18</f>
        <v>189.84028800000004</v>
      </c>
      <c r="E34" s="94"/>
    </row>
    <row r="35" spans="1:5" ht="12.75">
      <c r="A35" s="518" t="s">
        <v>2895</v>
      </c>
      <c r="B35" s="322" t="s">
        <v>547</v>
      </c>
      <c r="C35" s="394">
        <f>132.96*1.1*1.1</f>
        <v>160.88160000000005</v>
      </c>
      <c r="D35" s="19">
        <f>C35*1.18</f>
        <v>189.84028800000004</v>
      </c>
      <c r="E35" s="94"/>
    </row>
    <row r="36" spans="1:5" ht="12.75">
      <c r="A36" s="518" t="s">
        <v>2896</v>
      </c>
      <c r="B36" s="322" t="s">
        <v>1969</v>
      </c>
      <c r="C36" s="394">
        <f>166.2*1.1*1.1</f>
        <v>201.102</v>
      </c>
      <c r="D36" s="19">
        <f t="shared" si="0"/>
        <v>237.30035999999998</v>
      </c>
      <c r="E36" s="94"/>
    </row>
    <row r="37" spans="1:5" ht="12.75">
      <c r="A37" s="518" t="s">
        <v>2897</v>
      </c>
      <c r="B37" s="322" t="s">
        <v>606</v>
      </c>
      <c r="C37" s="394">
        <f>249.29*1.1*1.1</f>
        <v>301.64090000000004</v>
      </c>
      <c r="D37" s="19">
        <f t="shared" si="0"/>
        <v>355.93626200000006</v>
      </c>
      <c r="E37" s="94"/>
    </row>
    <row r="38" spans="1:5" ht="25.5">
      <c r="A38" s="518" t="s">
        <v>2898</v>
      </c>
      <c r="B38" s="255" t="s">
        <v>2902</v>
      </c>
      <c r="C38" s="394"/>
      <c r="D38" s="19"/>
      <c r="E38" s="94"/>
    </row>
    <row r="39" spans="1:5" ht="12.75">
      <c r="A39" s="518" t="s">
        <v>2954</v>
      </c>
      <c r="B39" s="255" t="s">
        <v>2903</v>
      </c>
      <c r="C39" s="394">
        <f>4321.09*1.1*1.1</f>
        <v>5228.518900000001</v>
      </c>
      <c r="D39" s="19">
        <f>C39*1.18</f>
        <v>6169.652302</v>
      </c>
      <c r="E39" s="94"/>
    </row>
    <row r="40" spans="1:5" ht="12.75">
      <c r="A40" s="518" t="s">
        <v>2955</v>
      </c>
      <c r="B40" s="255" t="s">
        <v>2904</v>
      </c>
      <c r="C40" s="394">
        <f>3323.92*1.1*1.1</f>
        <v>4021.9432000000006</v>
      </c>
      <c r="D40" s="19">
        <f>C40*1.18</f>
        <v>4745.892976</v>
      </c>
      <c r="E40" s="94"/>
    </row>
    <row r="41" spans="1:5" ht="12.75">
      <c r="A41" s="518" t="s">
        <v>2956</v>
      </c>
      <c r="B41" s="255" t="s">
        <v>2905</v>
      </c>
      <c r="C41" s="394">
        <f>2326.74*1.1*1.1</f>
        <v>2815.3554</v>
      </c>
      <c r="D41" s="19">
        <f>C41*1.18</f>
        <v>3322.1193719999997</v>
      </c>
      <c r="E41" s="94"/>
    </row>
    <row r="42" spans="1:5" ht="12.75">
      <c r="A42" s="518" t="s">
        <v>2899</v>
      </c>
      <c r="B42" s="322" t="s">
        <v>2901</v>
      </c>
      <c r="C42" s="394">
        <f>166.2*1.1*1.1</f>
        <v>201.102</v>
      </c>
      <c r="D42" s="19">
        <f>C42*1.18</f>
        <v>237.30035999999998</v>
      </c>
      <c r="E42" s="94"/>
    </row>
    <row r="43" spans="1:5" ht="12.75">
      <c r="A43" s="518" t="s">
        <v>2957</v>
      </c>
      <c r="B43" s="322" t="s">
        <v>844</v>
      </c>
      <c r="C43" s="394">
        <f>132.96*1.1*1.1</f>
        <v>160.88160000000005</v>
      </c>
      <c r="D43" s="19">
        <f>C43*1.18</f>
        <v>189.84028800000004</v>
      </c>
      <c r="E43" s="328"/>
    </row>
    <row r="44" spans="1:5" ht="12.75">
      <c r="A44" s="382"/>
      <c r="B44" s="383"/>
      <c r="C44" s="395"/>
      <c r="D44" s="98"/>
      <c r="E44" s="94"/>
    </row>
    <row r="45" spans="1:5" ht="12.75">
      <c r="A45" s="382"/>
      <c r="B45" s="383"/>
      <c r="C45" s="395"/>
      <c r="D45" s="98"/>
      <c r="E45" s="94"/>
    </row>
    <row r="46" spans="3:4" ht="12.75">
      <c r="C46" s="396"/>
      <c r="D46" s="4"/>
    </row>
    <row r="47" spans="3:4" ht="12.75">
      <c r="C47" s="396"/>
      <c r="D47" s="4"/>
    </row>
    <row r="48" spans="2:4" ht="15" customHeight="1">
      <c r="B48" s="144" t="s">
        <v>2819</v>
      </c>
      <c r="D48" s="515" t="s">
        <v>2820</v>
      </c>
    </row>
  </sheetData>
  <sheetProtection/>
  <mergeCells count="5">
    <mergeCell ref="A20:D20"/>
    <mergeCell ref="A13:D13"/>
    <mergeCell ref="A14:D14"/>
    <mergeCell ref="A15:D15"/>
    <mergeCell ref="A16:D16"/>
  </mergeCells>
  <printOptions/>
  <pageMargins left="0.75" right="0.54" top="0.77" bottom="0.54"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G37"/>
  <sheetViews>
    <sheetView zoomScalePageLayoutView="0" workbookViewId="0" topLeftCell="A1">
      <selection activeCell="K20" sqref="K20"/>
    </sheetView>
  </sheetViews>
  <sheetFormatPr defaultColWidth="9.00390625" defaultRowHeight="12.75"/>
  <cols>
    <col min="1" max="1" width="9.25390625" style="3" customWidth="1"/>
    <col min="2" max="2" width="55.25390625" style="5" customWidth="1"/>
    <col min="3" max="3" width="7.375" style="0" hidden="1" customWidth="1"/>
    <col min="4" max="4" width="0" style="0" hidden="1" customWidth="1"/>
    <col min="5" max="5" width="11.00390625" style="51" customWidth="1"/>
    <col min="6" max="6" width="10.75390625" style="643" customWidth="1"/>
  </cols>
  <sheetData>
    <row r="1" spans="1:6" ht="12.75">
      <c r="A1" s="13"/>
      <c r="B1" s="131"/>
      <c r="C1" s="10"/>
      <c r="D1" s="10"/>
      <c r="F1" s="643" t="s">
        <v>2907</v>
      </c>
    </row>
    <row r="2" spans="1:6" ht="12.75">
      <c r="A2" s="13"/>
      <c r="B2" s="131"/>
      <c r="C2" s="10"/>
      <c r="D2" s="10"/>
      <c r="F2" s="644" t="s">
        <v>2822</v>
      </c>
    </row>
    <row r="3" spans="1:6" ht="12.75">
      <c r="A3" s="13"/>
      <c r="B3" s="131"/>
      <c r="C3" s="10"/>
      <c r="D3" s="10"/>
      <c r="F3" s="81" t="s">
        <v>3556</v>
      </c>
    </row>
    <row r="4" spans="1:6" ht="12.75">
      <c r="A4" s="13"/>
      <c r="B4" s="131"/>
      <c r="C4" s="131"/>
      <c r="D4" s="131"/>
      <c r="E4" s="131"/>
      <c r="F4" s="701"/>
    </row>
    <row r="5" spans="1:6" ht="12.75">
      <c r="A5" s="13"/>
      <c r="B5" s="131"/>
      <c r="C5" s="10"/>
      <c r="D5" s="10"/>
      <c r="F5" s="682"/>
    </row>
    <row r="6" spans="1:6" ht="12.75">
      <c r="A6" s="13"/>
      <c r="B6" s="131"/>
      <c r="C6" s="10"/>
      <c r="D6" s="10"/>
      <c r="F6" s="682"/>
    </row>
    <row r="7" spans="1:6" ht="15.75">
      <c r="A7" s="897" t="s">
        <v>3551</v>
      </c>
      <c r="B7" s="897"/>
      <c r="C7" s="897"/>
      <c r="D7" s="897"/>
      <c r="E7" s="897"/>
      <c r="F7" s="897"/>
    </row>
    <row r="8" spans="1:6" ht="15.75">
      <c r="A8" s="897" t="s">
        <v>2823</v>
      </c>
      <c r="B8" s="897"/>
      <c r="C8" s="897"/>
      <c r="D8" s="897"/>
      <c r="E8" s="897"/>
      <c r="F8" s="897"/>
    </row>
    <row r="9" spans="1:6" ht="15.75">
      <c r="A9" s="898" t="s">
        <v>1161</v>
      </c>
      <c r="B9" s="898"/>
      <c r="C9" s="898"/>
      <c r="D9" s="898"/>
      <c r="E9" s="898"/>
      <c r="F9" s="898"/>
    </row>
    <row r="10" spans="1:6" s="22" customFormat="1" ht="15.75">
      <c r="A10" s="899" t="s">
        <v>3553</v>
      </c>
      <c r="B10" s="899"/>
      <c r="C10" s="899"/>
      <c r="D10" s="899"/>
      <c r="E10" s="899"/>
      <c r="F10" s="899"/>
    </row>
    <row r="11" spans="1:5" ht="12.75">
      <c r="A11" s="1004"/>
      <c r="B11" s="1004"/>
      <c r="C11" s="1004"/>
      <c r="D11" s="1004"/>
      <c r="E11" s="1004"/>
    </row>
    <row r="12" spans="1:6" s="16" customFormat="1" ht="31.5">
      <c r="A12" s="676" t="s">
        <v>2522</v>
      </c>
      <c r="B12" s="677" t="s">
        <v>2325</v>
      </c>
      <c r="C12" s="678" t="s">
        <v>334</v>
      </c>
      <c r="D12" s="679" t="s">
        <v>2566</v>
      </c>
      <c r="E12" s="680" t="s">
        <v>2567</v>
      </c>
      <c r="F12" s="681" t="s">
        <v>2568</v>
      </c>
    </row>
    <row r="13" spans="1:6" s="16" customFormat="1" ht="12.75" customHeight="1">
      <c r="A13" s="1005" t="s">
        <v>1475</v>
      </c>
      <c r="B13" s="1006"/>
      <c r="C13" s="1006"/>
      <c r="D13" s="1006"/>
      <c r="E13" s="1006"/>
      <c r="F13" s="1007"/>
    </row>
    <row r="14" spans="1:6" s="16" customFormat="1" ht="11.25">
      <c r="A14" s="677">
        <v>1</v>
      </c>
      <c r="B14" s="677">
        <v>2</v>
      </c>
      <c r="C14" s="677"/>
      <c r="D14" s="677">
        <v>3</v>
      </c>
      <c r="E14" s="677">
        <v>4</v>
      </c>
      <c r="F14" s="683"/>
    </row>
    <row r="15" spans="1:6" s="16" customFormat="1" ht="24" customHeight="1">
      <c r="A15" s="952" t="s">
        <v>2908</v>
      </c>
      <c r="B15" s="952"/>
      <c r="C15" s="952"/>
      <c r="D15" s="952"/>
      <c r="E15" s="952"/>
      <c r="F15" s="952"/>
    </row>
    <row r="16" spans="1:7" s="16" customFormat="1" ht="15">
      <c r="A16" s="316" t="s">
        <v>2922</v>
      </c>
      <c r="B16" s="372" t="s">
        <v>2911</v>
      </c>
      <c r="C16" s="373"/>
      <c r="D16" s="375">
        <v>4</v>
      </c>
      <c r="E16" s="36">
        <f aca="true" t="shared" si="0" ref="E16:E31">F16/1.18</f>
        <v>121.1864406779661</v>
      </c>
      <c r="F16" s="104">
        <v>143</v>
      </c>
      <c r="G16"/>
    </row>
    <row r="17" spans="1:7" s="16" customFormat="1" ht="25.5">
      <c r="A17" s="316" t="s">
        <v>2923</v>
      </c>
      <c r="B17" s="372" t="s">
        <v>2910</v>
      </c>
      <c r="C17" s="373" t="s">
        <v>1587</v>
      </c>
      <c r="D17" s="374">
        <v>4</v>
      </c>
      <c r="E17" s="36">
        <f t="shared" si="0"/>
        <v>233.05084745762713</v>
      </c>
      <c r="F17" s="104">
        <v>275</v>
      </c>
      <c r="G17"/>
    </row>
    <row r="18" spans="1:6" ht="51">
      <c r="A18" s="316" t="s">
        <v>2924</v>
      </c>
      <c r="B18" s="372" t="s">
        <v>3550</v>
      </c>
      <c r="C18" s="373" t="s">
        <v>1587</v>
      </c>
      <c r="D18" s="375">
        <v>4</v>
      </c>
      <c r="E18" s="36">
        <f t="shared" si="0"/>
        <v>251.69491525423732</v>
      </c>
      <c r="F18" s="104">
        <v>297</v>
      </c>
    </row>
    <row r="19" spans="1:6" ht="25.5">
      <c r="A19" s="316" t="s">
        <v>2925</v>
      </c>
      <c r="B19" s="372" t="s">
        <v>2914</v>
      </c>
      <c r="C19" s="373" t="s">
        <v>1587</v>
      </c>
      <c r="D19" s="374">
        <v>4</v>
      </c>
      <c r="E19" s="36">
        <f t="shared" si="0"/>
        <v>372.8813559322034</v>
      </c>
      <c r="F19" s="104">
        <v>440</v>
      </c>
    </row>
    <row r="20" spans="1:6" ht="15">
      <c r="A20" s="316" t="s">
        <v>2926</v>
      </c>
      <c r="B20" s="372" t="s">
        <v>1471</v>
      </c>
      <c r="C20" s="373" t="s">
        <v>1587</v>
      </c>
      <c r="D20" s="374">
        <v>4</v>
      </c>
      <c r="E20" s="36">
        <f t="shared" si="0"/>
        <v>354.23728813559325</v>
      </c>
      <c r="F20" s="104">
        <v>418</v>
      </c>
    </row>
    <row r="21" spans="1:6" s="364" customFormat="1" ht="51">
      <c r="A21" s="617" t="s">
        <v>2927</v>
      </c>
      <c r="B21" s="359" t="s">
        <v>2909</v>
      </c>
      <c r="C21" s="618" t="s">
        <v>1587</v>
      </c>
      <c r="D21" s="378">
        <v>4</v>
      </c>
      <c r="E21" s="357">
        <f t="shared" si="0"/>
        <v>419.49152542372883</v>
      </c>
      <c r="F21" s="629">
        <v>495</v>
      </c>
    </row>
    <row r="22" spans="1:6" ht="25.5">
      <c r="A22" s="316" t="s">
        <v>2928</v>
      </c>
      <c r="B22" s="359" t="s">
        <v>2917</v>
      </c>
      <c r="C22" s="358" t="s">
        <v>1587</v>
      </c>
      <c r="D22" s="376">
        <v>4</v>
      </c>
      <c r="E22" s="357">
        <f t="shared" si="0"/>
        <v>456.77966101694915</v>
      </c>
      <c r="F22" s="629">
        <v>539</v>
      </c>
    </row>
    <row r="23" spans="1:6" ht="38.25">
      <c r="A23" s="316" t="s">
        <v>2929</v>
      </c>
      <c r="B23" s="377" t="s">
        <v>3387</v>
      </c>
      <c r="C23" s="252" t="s">
        <v>1587</v>
      </c>
      <c r="D23" s="374">
        <v>4</v>
      </c>
      <c r="E23" s="36">
        <f t="shared" si="0"/>
        <v>512.7118644067797</v>
      </c>
      <c r="F23" s="709">
        <v>605</v>
      </c>
    </row>
    <row r="24" spans="1:6" ht="25.5">
      <c r="A24" s="316" t="s">
        <v>2930</v>
      </c>
      <c r="B24" s="372" t="s">
        <v>2918</v>
      </c>
      <c r="C24" s="373" t="s">
        <v>1587</v>
      </c>
      <c r="D24" s="374">
        <v>4</v>
      </c>
      <c r="E24" s="36">
        <f t="shared" si="0"/>
        <v>531.3559322033899</v>
      </c>
      <c r="F24" s="104">
        <v>627</v>
      </c>
    </row>
    <row r="25" spans="1:6" s="364" customFormat="1" ht="93" customHeight="1">
      <c r="A25" s="617" t="s">
        <v>2931</v>
      </c>
      <c r="B25" s="359" t="s">
        <v>2915</v>
      </c>
      <c r="C25" s="618" t="s">
        <v>1587</v>
      </c>
      <c r="D25" s="376">
        <v>4</v>
      </c>
      <c r="E25" s="357">
        <f t="shared" si="0"/>
        <v>559.3220338983051</v>
      </c>
      <c r="F25" s="629">
        <v>660</v>
      </c>
    </row>
    <row r="26" spans="1:6" ht="51">
      <c r="A26" s="316" t="s">
        <v>2932</v>
      </c>
      <c r="B26" s="359" t="s">
        <v>2913</v>
      </c>
      <c r="C26" s="356" t="s">
        <v>1587</v>
      </c>
      <c r="D26" s="376">
        <v>4</v>
      </c>
      <c r="E26" s="357">
        <f>F26/1.18</f>
        <v>643.2203389830509</v>
      </c>
      <c r="F26" s="710">
        <v>759</v>
      </c>
    </row>
    <row r="27" spans="1:7" s="364" customFormat="1" ht="51">
      <c r="A27" s="617" t="s">
        <v>2933</v>
      </c>
      <c r="B27" s="359" t="s">
        <v>2916</v>
      </c>
      <c r="C27" s="790" t="s">
        <v>1587</v>
      </c>
      <c r="D27" s="376">
        <v>4</v>
      </c>
      <c r="E27" s="357">
        <f t="shared" si="0"/>
        <v>762.7118644067797</v>
      </c>
      <c r="F27" s="629">
        <v>900</v>
      </c>
      <c r="G27" s="364" t="s">
        <v>3549</v>
      </c>
    </row>
    <row r="28" spans="1:6" s="364" customFormat="1" ht="44.25" customHeight="1">
      <c r="A28" s="617" t="s">
        <v>2934</v>
      </c>
      <c r="B28" s="791" t="s">
        <v>2919</v>
      </c>
      <c r="C28" s="790" t="s">
        <v>1587</v>
      </c>
      <c r="D28" s="376">
        <v>4</v>
      </c>
      <c r="E28" s="357">
        <f t="shared" si="0"/>
        <v>932.2033898305085</v>
      </c>
      <c r="F28" s="792">
        <v>1100</v>
      </c>
    </row>
    <row r="29" spans="1:6" s="360" customFormat="1" ht="32.25" customHeight="1">
      <c r="A29" s="617" t="s">
        <v>2935</v>
      </c>
      <c r="B29" s="359" t="s">
        <v>2912</v>
      </c>
      <c r="C29" s="356" t="s">
        <v>1587</v>
      </c>
      <c r="D29" s="378">
        <v>7</v>
      </c>
      <c r="E29" s="357">
        <f t="shared" si="0"/>
        <v>932.2033898305085</v>
      </c>
      <c r="F29" s="710">
        <v>1100</v>
      </c>
    </row>
    <row r="30" spans="1:6" s="360" customFormat="1" ht="15">
      <c r="A30" s="617" t="s">
        <v>2936</v>
      </c>
      <c r="B30" s="359" t="s">
        <v>2920</v>
      </c>
      <c r="C30" s="790" t="s">
        <v>1587</v>
      </c>
      <c r="D30" s="376">
        <v>4</v>
      </c>
      <c r="E30" s="357">
        <f t="shared" si="0"/>
        <v>1101.6949152542375</v>
      </c>
      <c r="F30" s="792">
        <v>1300</v>
      </c>
    </row>
    <row r="31" spans="1:6" s="793" customFormat="1" ht="25.5">
      <c r="A31" s="617" t="s">
        <v>2937</v>
      </c>
      <c r="B31" s="791" t="s">
        <v>2921</v>
      </c>
      <c r="C31" s="790" t="s">
        <v>1587</v>
      </c>
      <c r="D31" s="376">
        <v>4</v>
      </c>
      <c r="E31" s="357">
        <f t="shared" si="0"/>
        <v>1389.8305084745764</v>
      </c>
      <c r="F31" s="629">
        <v>1640</v>
      </c>
    </row>
    <row r="32" spans="1:6" s="364" customFormat="1" ht="12.75">
      <c r="A32" s="617" t="s">
        <v>2938</v>
      </c>
      <c r="B32" s="362" t="s">
        <v>2962</v>
      </c>
      <c r="C32" s="772"/>
      <c r="D32" s="772"/>
      <c r="E32" s="357">
        <f>F32/1.18</f>
        <v>203.38983050847457</v>
      </c>
      <c r="F32" s="773">
        <v>240</v>
      </c>
    </row>
    <row r="33" spans="1:6" ht="12.75">
      <c r="A33" s="13"/>
      <c r="B33" s="131"/>
      <c r="C33" s="10"/>
      <c r="D33" s="10"/>
      <c r="F33" s="684"/>
    </row>
    <row r="34" spans="1:6" ht="12.75">
      <c r="A34" s="13"/>
      <c r="B34" s="131"/>
      <c r="C34" s="10"/>
      <c r="D34" s="10"/>
      <c r="F34" s="684"/>
    </row>
    <row r="35" spans="1:5" ht="12.75">
      <c r="A35" s="1"/>
      <c r="E35"/>
    </row>
    <row r="36" ht="12.75">
      <c r="A36" s="179"/>
    </row>
    <row r="37" spans="2:6" ht="15.75">
      <c r="B37" s="144" t="s">
        <v>2819</v>
      </c>
      <c r="C37" s="295"/>
      <c r="D37" s="10"/>
      <c r="F37" s="626" t="s">
        <v>2820</v>
      </c>
    </row>
  </sheetData>
  <sheetProtection/>
  <mergeCells count="7">
    <mergeCell ref="A11:E11"/>
    <mergeCell ref="A15:F15"/>
    <mergeCell ref="A7:F7"/>
    <mergeCell ref="A8:F8"/>
    <mergeCell ref="A9:F9"/>
    <mergeCell ref="A10:F10"/>
    <mergeCell ref="A13:F13"/>
  </mergeCells>
  <printOptions/>
  <pageMargins left="0.5511811023622047" right="0.35433070866141736" top="0.5905511811023623" bottom="0.5905511811023623" header="0.5118110236220472" footer="0.5118110236220472"/>
  <pageSetup fitToHeight="0"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tabColor rgb="FFFF0000"/>
  </sheetPr>
  <dimension ref="A1:E117"/>
  <sheetViews>
    <sheetView zoomScalePageLayoutView="0" workbookViewId="0" topLeftCell="A1">
      <selection activeCell="K13" sqref="K13"/>
    </sheetView>
  </sheetViews>
  <sheetFormatPr defaultColWidth="9.00390625" defaultRowHeight="12.75"/>
  <cols>
    <col min="1" max="1" width="7.375" style="298" customWidth="1"/>
    <col min="2" max="2" width="53.00390625" style="794" customWidth="1"/>
    <col min="3" max="3" width="12.625" style="794" customWidth="1"/>
    <col min="4" max="4" width="11.75390625" style="794" customWidth="1"/>
    <col min="5" max="5" width="12.25390625" style="794" customWidth="1"/>
  </cols>
  <sheetData>
    <row r="1" ht="15.75">
      <c r="E1" s="861" t="s">
        <v>3724</v>
      </c>
    </row>
    <row r="2" ht="15.75">
      <c r="E2" s="644" t="s">
        <v>2822</v>
      </c>
    </row>
    <row r="3" ht="15.75">
      <c r="E3" s="81" t="s">
        <v>3556</v>
      </c>
    </row>
    <row r="4" spans="1:5" ht="15.75">
      <c r="A4" s="795"/>
      <c r="B4" s="1010"/>
      <c r="C4" s="1010"/>
      <c r="D4" s="1010"/>
      <c r="E4" s="1010"/>
    </row>
    <row r="5" spans="1:5" ht="15.75">
      <c r="A5" s="795"/>
      <c r="B5" s="797"/>
      <c r="D5" s="798"/>
      <c r="E5" s="796"/>
    </row>
    <row r="6" spans="1:5" ht="33" customHeight="1">
      <c r="A6" s="1011" t="s">
        <v>3558</v>
      </c>
      <c r="B6" s="1011"/>
      <c r="C6" s="1011"/>
      <c r="D6" s="1011"/>
      <c r="E6" s="1011"/>
    </row>
    <row r="7" spans="1:5" ht="14.25">
      <c r="A7" s="894" t="s">
        <v>3725</v>
      </c>
      <c r="B7" s="894"/>
      <c r="C7" s="894"/>
      <c r="D7" s="894"/>
      <c r="E7" s="894"/>
    </row>
    <row r="9" spans="1:5" ht="31.5">
      <c r="A9" s="799" t="s">
        <v>2522</v>
      </c>
      <c r="B9" s="800" t="s">
        <v>3559</v>
      </c>
      <c r="C9" s="800" t="s">
        <v>3560</v>
      </c>
      <c r="D9" s="800" t="s">
        <v>3561</v>
      </c>
      <c r="E9" s="800" t="s">
        <v>3562</v>
      </c>
    </row>
    <row r="10" spans="1:5" ht="15.75">
      <c r="A10" s="799">
        <v>1</v>
      </c>
      <c r="B10" s="800">
        <v>2</v>
      </c>
      <c r="C10" s="800">
        <v>3</v>
      </c>
      <c r="D10" s="800">
        <v>4</v>
      </c>
      <c r="E10" s="801">
        <v>5</v>
      </c>
    </row>
    <row r="11" spans="1:5" ht="29.25" customHeight="1">
      <c r="A11" s="799" t="s">
        <v>3563</v>
      </c>
      <c r="B11" s="1012" t="s">
        <v>3564</v>
      </c>
      <c r="C11" s="1013"/>
      <c r="D11" s="1013"/>
      <c r="E11" s="1014"/>
    </row>
    <row r="12" spans="1:5" ht="15.75">
      <c r="A12" s="799" t="s">
        <v>2963</v>
      </c>
      <c r="B12" s="802" t="s">
        <v>3565</v>
      </c>
      <c r="C12" s="803" t="s">
        <v>3566</v>
      </c>
      <c r="D12" s="803"/>
      <c r="E12" s="803"/>
    </row>
    <row r="13" spans="1:5" ht="47.25">
      <c r="A13" s="799" t="s">
        <v>1965</v>
      </c>
      <c r="B13" s="800" t="s">
        <v>3567</v>
      </c>
      <c r="C13" s="804"/>
      <c r="D13" s="805">
        <v>8518.19</v>
      </c>
      <c r="E13" s="805">
        <v>10051.46</v>
      </c>
    </row>
    <row r="14" spans="1:5" ht="15.75">
      <c r="A14" s="799" t="s">
        <v>2970</v>
      </c>
      <c r="B14" s="802" t="s">
        <v>3568</v>
      </c>
      <c r="C14" s="803" t="s">
        <v>3566</v>
      </c>
      <c r="D14" s="803"/>
      <c r="E14" s="803"/>
    </row>
    <row r="15" spans="1:5" ht="63">
      <c r="A15" s="799" t="s">
        <v>2971</v>
      </c>
      <c r="B15" s="800" t="s">
        <v>3569</v>
      </c>
      <c r="C15" s="806"/>
      <c r="D15" s="807">
        <v>11068.19</v>
      </c>
      <c r="E15" s="807">
        <v>13060.46</v>
      </c>
    </row>
    <row r="16" spans="1:5" ht="47.25">
      <c r="A16" s="799" t="s">
        <v>2972</v>
      </c>
      <c r="B16" s="800" t="s">
        <v>3570</v>
      </c>
      <c r="C16" s="808"/>
      <c r="D16" s="809">
        <v>10218.19</v>
      </c>
      <c r="E16" s="809">
        <v>12057.46</v>
      </c>
    </row>
    <row r="17" spans="1:5" ht="63">
      <c r="A17" s="810" t="s">
        <v>2973</v>
      </c>
      <c r="B17" s="811" t="s">
        <v>3571</v>
      </c>
      <c r="C17" s="812"/>
      <c r="D17" s="813">
        <v>16678.19</v>
      </c>
      <c r="E17" s="813">
        <v>19680.26</v>
      </c>
    </row>
    <row r="18" spans="1:5" ht="31.5">
      <c r="A18" s="799" t="s">
        <v>3572</v>
      </c>
      <c r="B18" s="800" t="s">
        <v>3573</v>
      </c>
      <c r="C18" s="808"/>
      <c r="D18" s="809">
        <v>10218.19</v>
      </c>
      <c r="E18" s="809">
        <v>12057.46</v>
      </c>
    </row>
    <row r="19" spans="1:5" ht="47.25">
      <c r="A19" s="814" t="s">
        <v>3574</v>
      </c>
      <c r="B19" s="815" t="s">
        <v>3575</v>
      </c>
      <c r="C19" s="816"/>
      <c r="D19" s="817">
        <v>10218.19</v>
      </c>
      <c r="E19" s="817">
        <v>12057.46</v>
      </c>
    </row>
    <row r="20" spans="1:5" ht="63">
      <c r="A20" s="818" t="s">
        <v>3576</v>
      </c>
      <c r="B20" s="819" t="s">
        <v>3577</v>
      </c>
      <c r="C20" s="820"/>
      <c r="D20" s="821">
        <v>4098.19</v>
      </c>
      <c r="E20" s="821">
        <v>4835.86</v>
      </c>
    </row>
    <row r="21" spans="1:5" ht="15.75">
      <c r="A21" s="822" t="s">
        <v>2974</v>
      </c>
      <c r="B21" s="823" t="s">
        <v>3578</v>
      </c>
      <c r="C21" s="824" t="s">
        <v>3566</v>
      </c>
      <c r="D21" s="824"/>
      <c r="E21" s="824"/>
    </row>
    <row r="22" spans="1:5" ht="47.25">
      <c r="A22" s="799" t="s">
        <v>2975</v>
      </c>
      <c r="B22" s="800" t="s">
        <v>3579</v>
      </c>
      <c r="C22" s="806"/>
      <c r="D22" s="807">
        <v>15318.19</v>
      </c>
      <c r="E22" s="807">
        <v>18075.46</v>
      </c>
    </row>
    <row r="23" spans="1:5" ht="50.25" customHeight="1">
      <c r="A23" s="810" t="s">
        <v>2976</v>
      </c>
      <c r="B23" s="811" t="s">
        <v>3580</v>
      </c>
      <c r="C23" s="812"/>
      <c r="D23" s="813">
        <v>20078.19</v>
      </c>
      <c r="E23" s="813">
        <v>23692.26</v>
      </c>
    </row>
    <row r="24" spans="1:5" ht="31.5">
      <c r="A24" s="799" t="s">
        <v>2977</v>
      </c>
      <c r="B24" s="800" t="s">
        <v>3581</v>
      </c>
      <c r="C24" s="808"/>
      <c r="D24" s="809">
        <v>15318.19</v>
      </c>
      <c r="E24" s="809">
        <v>18075.46</v>
      </c>
    </row>
    <row r="25" spans="1:5" ht="47.25">
      <c r="A25" s="799" t="s">
        <v>2978</v>
      </c>
      <c r="B25" s="815" t="s">
        <v>3582</v>
      </c>
      <c r="C25" s="816"/>
      <c r="D25" s="817">
        <v>15318.19</v>
      </c>
      <c r="E25" s="817">
        <v>18075.46</v>
      </c>
    </row>
    <row r="26" spans="1:5" ht="66" customHeight="1">
      <c r="A26" s="825" t="s">
        <v>2979</v>
      </c>
      <c r="B26" s="803" t="s">
        <v>3583</v>
      </c>
      <c r="C26" s="826"/>
      <c r="D26" s="827">
        <v>15318.19</v>
      </c>
      <c r="E26" s="827">
        <v>18075.46</v>
      </c>
    </row>
    <row r="27" spans="1:5" ht="63">
      <c r="A27" s="828" t="s">
        <v>2980</v>
      </c>
      <c r="B27" s="819" t="s">
        <v>3584</v>
      </c>
      <c r="C27" s="820"/>
      <c r="D27" s="829">
        <v>5458.19</v>
      </c>
      <c r="E27" s="829">
        <v>6440.66</v>
      </c>
    </row>
    <row r="28" spans="1:5" ht="63">
      <c r="A28" s="828" t="s">
        <v>2981</v>
      </c>
      <c r="B28" s="819" t="s">
        <v>3726</v>
      </c>
      <c r="C28" s="820"/>
      <c r="D28" s="829">
        <v>20078.19</v>
      </c>
      <c r="E28" s="829">
        <v>23692.26</v>
      </c>
    </row>
    <row r="29" spans="1:5" ht="15.75">
      <c r="A29" s="799" t="s">
        <v>2983</v>
      </c>
      <c r="B29" s="823" t="s">
        <v>3585</v>
      </c>
      <c r="C29" s="824" t="s">
        <v>3566</v>
      </c>
      <c r="D29" s="824"/>
      <c r="E29" s="824"/>
    </row>
    <row r="30" spans="1:5" ht="47.25">
      <c r="A30" s="810" t="s">
        <v>2984</v>
      </c>
      <c r="B30" s="811" t="s">
        <v>3586</v>
      </c>
      <c r="C30" s="830"/>
      <c r="D30" s="831">
        <v>25518.19</v>
      </c>
      <c r="E30" s="831">
        <v>30111.46</v>
      </c>
    </row>
    <row r="31" spans="1:5" ht="63">
      <c r="A31" s="799" t="s">
        <v>2985</v>
      </c>
      <c r="B31" s="800" t="s">
        <v>3587</v>
      </c>
      <c r="C31" s="808"/>
      <c r="D31" s="809">
        <v>17018.19</v>
      </c>
      <c r="E31" s="809">
        <v>20081.46</v>
      </c>
    </row>
    <row r="32" spans="1:5" ht="47.25">
      <c r="A32" s="799" t="s">
        <v>2986</v>
      </c>
      <c r="B32" s="800" t="s">
        <v>3588</v>
      </c>
      <c r="C32" s="808"/>
      <c r="D32" s="809">
        <v>22118.19</v>
      </c>
      <c r="E32" s="809">
        <v>26099.46</v>
      </c>
    </row>
    <row r="33" spans="1:5" ht="31.5">
      <c r="A33" s="814" t="s">
        <v>2987</v>
      </c>
      <c r="B33" s="815" t="s">
        <v>3589</v>
      </c>
      <c r="C33" s="816"/>
      <c r="D33" s="817">
        <v>17018.19</v>
      </c>
      <c r="E33" s="817">
        <v>20081.46</v>
      </c>
    </row>
    <row r="34" spans="1:5" ht="31.5">
      <c r="A34" s="832" t="s">
        <v>2988</v>
      </c>
      <c r="B34" s="803" t="s">
        <v>3590</v>
      </c>
      <c r="C34" s="826"/>
      <c r="D34" s="827">
        <v>22118.19</v>
      </c>
      <c r="E34" s="827">
        <v>26099.46</v>
      </c>
    </row>
    <row r="35" spans="1:5" ht="63">
      <c r="A35" s="832" t="s">
        <v>2989</v>
      </c>
      <c r="B35" s="833" t="s">
        <v>3591</v>
      </c>
      <c r="C35" s="826"/>
      <c r="D35" s="827">
        <v>6818.19</v>
      </c>
      <c r="E35" s="827">
        <v>8045.46</v>
      </c>
    </row>
    <row r="36" spans="1:5" ht="15.75">
      <c r="A36" s="832" t="s">
        <v>2998</v>
      </c>
      <c r="B36" s="834" t="s">
        <v>3592</v>
      </c>
      <c r="C36" s="826"/>
      <c r="D36" s="827"/>
      <c r="E36" s="827"/>
    </row>
    <row r="37" spans="1:5" ht="60">
      <c r="A37" s="835" t="s">
        <v>2999</v>
      </c>
      <c r="B37" s="834" t="s">
        <v>3593</v>
      </c>
      <c r="C37" s="836" t="s">
        <v>3566</v>
      </c>
      <c r="D37" s="837">
        <v>3928.19</v>
      </c>
      <c r="E37" s="837">
        <v>4635.26</v>
      </c>
    </row>
    <row r="38" spans="1:5" ht="60">
      <c r="A38" s="838" t="s">
        <v>3000</v>
      </c>
      <c r="B38" s="839" t="s">
        <v>3594</v>
      </c>
      <c r="C38" s="836" t="s">
        <v>3566</v>
      </c>
      <c r="D38" s="840">
        <v>1888.19</v>
      </c>
      <c r="E38" s="840">
        <v>2228.06</v>
      </c>
    </row>
    <row r="39" spans="1:5" ht="120">
      <c r="A39" s="841" t="s">
        <v>3001</v>
      </c>
      <c r="B39" s="839" t="s">
        <v>3595</v>
      </c>
      <c r="C39" s="836" t="s">
        <v>3566</v>
      </c>
      <c r="D39" s="840">
        <v>16678.19</v>
      </c>
      <c r="E39" s="840">
        <v>19680.26</v>
      </c>
    </row>
    <row r="40" spans="1:5" ht="120">
      <c r="A40" s="841" t="s">
        <v>3002</v>
      </c>
      <c r="B40" s="839" t="s">
        <v>3596</v>
      </c>
      <c r="C40" s="836" t="s">
        <v>3566</v>
      </c>
      <c r="D40" s="840">
        <v>20078.19</v>
      </c>
      <c r="E40" s="840">
        <v>23692.26</v>
      </c>
    </row>
    <row r="41" spans="1:5" ht="29.25" customHeight="1">
      <c r="A41" s="838" t="s">
        <v>3003</v>
      </c>
      <c r="B41" s="842" t="s">
        <v>3597</v>
      </c>
      <c r="C41" s="836"/>
      <c r="D41" s="840"/>
      <c r="E41" s="840"/>
    </row>
    <row r="42" spans="1:5" ht="60">
      <c r="A42" s="835" t="s">
        <v>3004</v>
      </c>
      <c r="B42" s="843" t="s">
        <v>3598</v>
      </c>
      <c r="C42" s="836" t="s">
        <v>3566</v>
      </c>
      <c r="D42" s="837">
        <v>15318.19</v>
      </c>
      <c r="E42" s="837">
        <v>18075.46</v>
      </c>
    </row>
    <row r="43" spans="1:5" ht="48" customHeight="1">
      <c r="A43" s="835" t="s">
        <v>3005</v>
      </c>
      <c r="B43" s="843" t="s">
        <v>3599</v>
      </c>
      <c r="C43" s="836" t="s">
        <v>3566</v>
      </c>
      <c r="D43" s="837">
        <v>17018.19</v>
      </c>
      <c r="E43" s="837">
        <v>20081.46</v>
      </c>
    </row>
    <row r="44" spans="1:5" ht="45">
      <c r="A44" s="844" t="s">
        <v>3006</v>
      </c>
      <c r="B44" s="842" t="s">
        <v>3600</v>
      </c>
      <c r="C44" s="845" t="s">
        <v>3566</v>
      </c>
      <c r="D44" s="846">
        <v>188.19</v>
      </c>
      <c r="E44" s="846">
        <v>222.06</v>
      </c>
    </row>
    <row r="45" spans="1:5" ht="45">
      <c r="A45" s="844" t="s">
        <v>3601</v>
      </c>
      <c r="B45" s="842" t="s">
        <v>3602</v>
      </c>
      <c r="C45" s="845" t="s">
        <v>3566</v>
      </c>
      <c r="D45" s="846">
        <v>358.19</v>
      </c>
      <c r="E45" s="846">
        <v>422.66</v>
      </c>
    </row>
    <row r="46" spans="1:5" ht="45">
      <c r="A46" s="844" t="s">
        <v>3603</v>
      </c>
      <c r="B46" s="842" t="s">
        <v>3604</v>
      </c>
      <c r="C46" s="845" t="s">
        <v>3566</v>
      </c>
      <c r="D46" s="846">
        <v>528.19</v>
      </c>
      <c r="E46" s="846">
        <v>623.26</v>
      </c>
    </row>
    <row r="47" spans="1:5" ht="45">
      <c r="A47" s="844" t="s">
        <v>3605</v>
      </c>
      <c r="B47" s="842" t="s">
        <v>3606</v>
      </c>
      <c r="C47" s="845" t="s">
        <v>3566</v>
      </c>
      <c r="D47" s="846">
        <v>698.19</v>
      </c>
      <c r="E47" s="846">
        <v>823.86</v>
      </c>
    </row>
    <row r="48" spans="1:5" ht="45">
      <c r="A48" s="844" t="s">
        <v>3607</v>
      </c>
      <c r="B48" s="842" t="s">
        <v>3608</v>
      </c>
      <c r="C48" s="845" t="s">
        <v>3566</v>
      </c>
      <c r="D48" s="846">
        <v>868.19</v>
      </c>
      <c r="E48" s="846">
        <v>1024.46</v>
      </c>
    </row>
    <row r="49" spans="1:5" ht="45">
      <c r="A49" s="844" t="s">
        <v>3609</v>
      </c>
      <c r="B49" s="842" t="s">
        <v>3610</v>
      </c>
      <c r="C49" s="845" t="s">
        <v>3566</v>
      </c>
      <c r="D49" s="846">
        <v>1038.19</v>
      </c>
      <c r="E49" s="846">
        <v>1225.06</v>
      </c>
    </row>
    <row r="50" spans="1:5" ht="45">
      <c r="A50" s="844" t="s">
        <v>3611</v>
      </c>
      <c r="B50" s="842" t="s">
        <v>3612</v>
      </c>
      <c r="C50" s="845" t="s">
        <v>3566</v>
      </c>
      <c r="D50" s="846">
        <v>1208.19</v>
      </c>
      <c r="E50" s="846">
        <v>1425.66</v>
      </c>
    </row>
    <row r="51" spans="1:5" ht="45">
      <c r="A51" s="844" t="s">
        <v>3613</v>
      </c>
      <c r="B51" s="842" t="s">
        <v>3614</v>
      </c>
      <c r="C51" s="845" t="s">
        <v>3566</v>
      </c>
      <c r="D51" s="846">
        <v>1378.19</v>
      </c>
      <c r="E51" s="846">
        <v>1626.26</v>
      </c>
    </row>
    <row r="52" spans="1:5" ht="45">
      <c r="A52" s="844" t="s">
        <v>3615</v>
      </c>
      <c r="B52" s="842" t="s">
        <v>3616</v>
      </c>
      <c r="C52" s="845" t="s">
        <v>3566</v>
      </c>
      <c r="D52" s="846">
        <v>1548.19</v>
      </c>
      <c r="E52" s="846">
        <v>1826.86</v>
      </c>
    </row>
    <row r="53" spans="1:5" ht="45">
      <c r="A53" s="844" t="s">
        <v>3617</v>
      </c>
      <c r="B53" s="842" t="s">
        <v>3618</v>
      </c>
      <c r="C53" s="845" t="s">
        <v>3566</v>
      </c>
      <c r="D53" s="846">
        <v>1718.19</v>
      </c>
      <c r="E53" s="846">
        <v>2027.46</v>
      </c>
    </row>
    <row r="54" spans="1:5" ht="45">
      <c r="A54" s="844" t="s">
        <v>3619</v>
      </c>
      <c r="B54" s="842" t="s">
        <v>3620</v>
      </c>
      <c r="C54" s="845" t="s">
        <v>3566</v>
      </c>
      <c r="D54" s="846">
        <v>358.19</v>
      </c>
      <c r="E54" s="846">
        <v>422.66</v>
      </c>
    </row>
    <row r="55" spans="1:5" ht="45">
      <c r="A55" s="844" t="s">
        <v>3621</v>
      </c>
      <c r="B55" s="842" t="s">
        <v>3622</v>
      </c>
      <c r="C55" s="845" t="s">
        <v>3566</v>
      </c>
      <c r="D55" s="846">
        <v>613.19</v>
      </c>
      <c r="E55" s="846">
        <v>723.56</v>
      </c>
    </row>
    <row r="56" spans="1:5" ht="45">
      <c r="A56" s="844" t="s">
        <v>3623</v>
      </c>
      <c r="B56" s="842" t="s">
        <v>3624</v>
      </c>
      <c r="C56" s="845" t="s">
        <v>3566</v>
      </c>
      <c r="D56" s="846">
        <v>868.19</v>
      </c>
      <c r="E56" s="846">
        <v>1024.46</v>
      </c>
    </row>
    <row r="57" spans="1:5" ht="45">
      <c r="A57" s="844" t="s">
        <v>3625</v>
      </c>
      <c r="B57" s="842" t="s">
        <v>3626</v>
      </c>
      <c r="C57" s="845" t="s">
        <v>3566</v>
      </c>
      <c r="D57" s="846">
        <v>1123.19</v>
      </c>
      <c r="E57" s="846">
        <v>1325.36</v>
      </c>
    </row>
    <row r="58" spans="1:5" ht="45">
      <c r="A58" s="844" t="s">
        <v>3627</v>
      </c>
      <c r="B58" s="842" t="s">
        <v>3628</v>
      </c>
      <c r="C58" s="845" t="s">
        <v>3566</v>
      </c>
      <c r="D58" s="846">
        <v>1378.19</v>
      </c>
      <c r="E58" s="846">
        <v>1626.26</v>
      </c>
    </row>
    <row r="59" spans="1:5" ht="45">
      <c r="A59" s="844" t="s">
        <v>3629</v>
      </c>
      <c r="B59" s="842" t="s">
        <v>3630</v>
      </c>
      <c r="C59" s="845" t="s">
        <v>3566</v>
      </c>
      <c r="D59" s="846">
        <v>1633.19</v>
      </c>
      <c r="E59" s="846">
        <v>1927.16</v>
      </c>
    </row>
    <row r="60" spans="1:5" ht="45">
      <c r="A60" s="844" t="s">
        <v>3631</v>
      </c>
      <c r="B60" s="842" t="s">
        <v>3632</v>
      </c>
      <c r="C60" s="845" t="s">
        <v>3566</v>
      </c>
      <c r="D60" s="846">
        <v>1888.19</v>
      </c>
      <c r="E60" s="846">
        <v>2228.06</v>
      </c>
    </row>
    <row r="61" spans="1:5" ht="45">
      <c r="A61" s="844" t="s">
        <v>3633</v>
      </c>
      <c r="B61" s="842" t="s">
        <v>3634</v>
      </c>
      <c r="C61" s="845" t="s">
        <v>3566</v>
      </c>
      <c r="D61" s="846">
        <v>2143.19</v>
      </c>
      <c r="E61" s="846">
        <v>2528.96</v>
      </c>
    </row>
    <row r="62" spans="1:5" ht="45">
      <c r="A62" s="844" t="s">
        <v>3635</v>
      </c>
      <c r="B62" s="842" t="s">
        <v>3636</v>
      </c>
      <c r="C62" s="845" t="s">
        <v>3566</v>
      </c>
      <c r="D62" s="846">
        <v>2398.19</v>
      </c>
      <c r="E62" s="846">
        <v>2829.86</v>
      </c>
    </row>
    <row r="63" spans="1:5" ht="60">
      <c r="A63" s="844" t="s">
        <v>3637</v>
      </c>
      <c r="B63" s="842" t="s">
        <v>3638</v>
      </c>
      <c r="C63" s="845" t="s">
        <v>3566</v>
      </c>
      <c r="D63" s="846">
        <v>2653.19</v>
      </c>
      <c r="E63" s="846">
        <v>3130.76</v>
      </c>
    </row>
    <row r="64" spans="1:5" ht="60">
      <c r="A64" s="844" t="s">
        <v>3639</v>
      </c>
      <c r="B64" s="842" t="s">
        <v>3640</v>
      </c>
      <c r="C64" s="845" t="s">
        <v>3566</v>
      </c>
      <c r="D64" s="846">
        <v>188.19</v>
      </c>
      <c r="E64" s="846">
        <v>222.06</v>
      </c>
    </row>
    <row r="65" spans="1:5" ht="60">
      <c r="A65" s="844" t="s">
        <v>3641</v>
      </c>
      <c r="B65" s="842" t="s">
        <v>3642</v>
      </c>
      <c r="C65" s="845" t="s">
        <v>3566</v>
      </c>
      <c r="D65" s="846">
        <v>358.19</v>
      </c>
      <c r="E65" s="846">
        <v>422.66</v>
      </c>
    </row>
    <row r="66" spans="1:5" ht="60">
      <c r="A66" s="844" t="s">
        <v>3643</v>
      </c>
      <c r="B66" s="842" t="s">
        <v>3644</v>
      </c>
      <c r="C66" s="845" t="s">
        <v>3566</v>
      </c>
      <c r="D66" s="846">
        <v>528.19</v>
      </c>
      <c r="E66" s="846">
        <v>623.26</v>
      </c>
    </row>
    <row r="67" spans="1:5" ht="60">
      <c r="A67" s="844" t="s">
        <v>3645</v>
      </c>
      <c r="B67" s="842" t="s">
        <v>3646</v>
      </c>
      <c r="C67" s="845" t="s">
        <v>3566</v>
      </c>
      <c r="D67" s="846">
        <v>698.19</v>
      </c>
      <c r="E67" s="846">
        <v>823.86</v>
      </c>
    </row>
    <row r="68" spans="1:5" ht="60">
      <c r="A68" s="844" t="s">
        <v>3647</v>
      </c>
      <c r="B68" s="842" t="s">
        <v>3648</v>
      </c>
      <c r="C68" s="845" t="s">
        <v>3566</v>
      </c>
      <c r="D68" s="846">
        <v>868.19</v>
      </c>
      <c r="E68" s="846">
        <v>1024.46</v>
      </c>
    </row>
    <row r="69" spans="1:5" ht="60">
      <c r="A69" s="844" t="s">
        <v>3649</v>
      </c>
      <c r="B69" s="842" t="s">
        <v>3650</v>
      </c>
      <c r="C69" s="845" t="s">
        <v>3566</v>
      </c>
      <c r="D69" s="846">
        <v>1038.19</v>
      </c>
      <c r="E69" s="846">
        <v>1225.06</v>
      </c>
    </row>
    <row r="70" spans="1:5" ht="60">
      <c r="A70" s="844" t="s">
        <v>3651</v>
      </c>
      <c r="B70" s="842" t="s">
        <v>3652</v>
      </c>
      <c r="C70" s="845" t="s">
        <v>3566</v>
      </c>
      <c r="D70" s="846">
        <v>1208.19</v>
      </c>
      <c r="E70" s="846">
        <v>1425.66</v>
      </c>
    </row>
    <row r="71" spans="1:5" ht="60">
      <c r="A71" s="844" t="s">
        <v>3653</v>
      </c>
      <c r="B71" s="842" t="s">
        <v>3654</v>
      </c>
      <c r="C71" s="845" t="s">
        <v>3566</v>
      </c>
      <c r="D71" s="846">
        <v>1378.19</v>
      </c>
      <c r="E71" s="846">
        <v>1626.26</v>
      </c>
    </row>
    <row r="72" spans="1:5" ht="60">
      <c r="A72" s="844" t="s">
        <v>3655</v>
      </c>
      <c r="B72" s="842" t="s">
        <v>3656</v>
      </c>
      <c r="C72" s="845" t="s">
        <v>3566</v>
      </c>
      <c r="D72" s="846">
        <v>1548.19</v>
      </c>
      <c r="E72" s="846">
        <v>1826.86</v>
      </c>
    </row>
    <row r="73" spans="1:5" ht="60">
      <c r="A73" s="844" t="s">
        <v>3657</v>
      </c>
      <c r="B73" s="842" t="s">
        <v>3658</v>
      </c>
      <c r="C73" s="845" t="s">
        <v>3566</v>
      </c>
      <c r="D73" s="846">
        <v>1718.19</v>
      </c>
      <c r="E73" s="846">
        <v>2027.46</v>
      </c>
    </row>
    <row r="74" spans="1:5" ht="60">
      <c r="A74" s="844" t="s">
        <v>3659</v>
      </c>
      <c r="B74" s="842" t="s">
        <v>3660</v>
      </c>
      <c r="C74" s="845" t="s">
        <v>3566</v>
      </c>
      <c r="D74" s="846">
        <v>1293.19</v>
      </c>
      <c r="E74" s="846">
        <v>1525.96</v>
      </c>
    </row>
    <row r="75" spans="1:5" ht="60">
      <c r="A75" s="844" t="s">
        <v>3661</v>
      </c>
      <c r="B75" s="842" t="s">
        <v>3662</v>
      </c>
      <c r="C75" s="845" t="s">
        <v>3566</v>
      </c>
      <c r="D75" s="846">
        <v>1378.19</v>
      </c>
      <c r="E75" s="846">
        <v>1626.26</v>
      </c>
    </row>
    <row r="76" spans="1:5" ht="60">
      <c r="A76" s="844" t="s">
        <v>3663</v>
      </c>
      <c r="B76" s="842" t="s">
        <v>3664</v>
      </c>
      <c r="C76" s="845" t="s">
        <v>3566</v>
      </c>
      <c r="D76" s="846">
        <v>1463.19</v>
      </c>
      <c r="E76" s="846">
        <v>1726.56</v>
      </c>
    </row>
    <row r="77" spans="1:5" ht="60">
      <c r="A77" s="844" t="s">
        <v>3665</v>
      </c>
      <c r="B77" s="842" t="s">
        <v>3666</v>
      </c>
      <c r="C77" s="845" t="s">
        <v>3566</v>
      </c>
      <c r="D77" s="846">
        <v>1548.19</v>
      </c>
      <c r="E77" s="846">
        <v>1826.86</v>
      </c>
    </row>
    <row r="78" spans="1:5" ht="60">
      <c r="A78" s="844" t="s">
        <v>3667</v>
      </c>
      <c r="B78" s="842" t="s">
        <v>3668</v>
      </c>
      <c r="C78" s="845" t="s">
        <v>3566</v>
      </c>
      <c r="D78" s="846">
        <v>1633.19</v>
      </c>
      <c r="E78" s="846">
        <v>1927.16</v>
      </c>
    </row>
    <row r="79" spans="1:5" ht="60">
      <c r="A79" s="844" t="s">
        <v>3669</v>
      </c>
      <c r="B79" s="842" t="s">
        <v>3670</v>
      </c>
      <c r="C79" s="845" t="s">
        <v>3566</v>
      </c>
      <c r="D79" s="846">
        <v>1718.19</v>
      </c>
      <c r="E79" s="846">
        <v>2027.46</v>
      </c>
    </row>
    <row r="80" spans="1:5" ht="60">
      <c r="A80" s="844" t="s">
        <v>3671</v>
      </c>
      <c r="B80" s="842" t="s">
        <v>3672</v>
      </c>
      <c r="C80" s="845" t="s">
        <v>3566</v>
      </c>
      <c r="D80" s="846">
        <v>1803.19</v>
      </c>
      <c r="E80" s="846">
        <v>2127.76</v>
      </c>
    </row>
    <row r="81" spans="1:5" ht="60">
      <c r="A81" s="844" t="s">
        <v>3673</v>
      </c>
      <c r="B81" s="842" t="s">
        <v>3674</v>
      </c>
      <c r="C81" s="845" t="s">
        <v>3566</v>
      </c>
      <c r="D81" s="846">
        <v>1888.19</v>
      </c>
      <c r="E81" s="846">
        <v>2228.06</v>
      </c>
    </row>
    <row r="82" spans="1:5" ht="60">
      <c r="A82" s="844" t="s">
        <v>3675</v>
      </c>
      <c r="B82" s="842" t="s">
        <v>3676</v>
      </c>
      <c r="C82" s="845" t="s">
        <v>3566</v>
      </c>
      <c r="D82" s="846">
        <v>1973.19</v>
      </c>
      <c r="E82" s="846">
        <v>2328.36</v>
      </c>
    </row>
    <row r="83" spans="1:5" ht="60">
      <c r="A83" s="844" t="s">
        <v>3677</v>
      </c>
      <c r="B83" s="842" t="s">
        <v>3678</v>
      </c>
      <c r="C83" s="845" t="s">
        <v>3566</v>
      </c>
      <c r="D83" s="846">
        <v>2058.19</v>
      </c>
      <c r="E83" s="846">
        <v>2428.66</v>
      </c>
    </row>
    <row r="84" spans="1:5" ht="30">
      <c r="A84" s="844" t="s">
        <v>3679</v>
      </c>
      <c r="B84" s="842" t="s">
        <v>3680</v>
      </c>
      <c r="C84" s="845" t="s">
        <v>3566</v>
      </c>
      <c r="D84" s="846">
        <v>1718.19</v>
      </c>
      <c r="E84" s="846">
        <v>2027.46</v>
      </c>
    </row>
    <row r="85" spans="1:5" ht="27.75" customHeight="1">
      <c r="A85" s="844" t="s">
        <v>3681</v>
      </c>
      <c r="B85" s="842" t="s">
        <v>3682</v>
      </c>
      <c r="C85" s="845" t="s">
        <v>3566</v>
      </c>
      <c r="D85" s="846">
        <v>2058.19</v>
      </c>
      <c r="E85" s="846">
        <v>2428.66</v>
      </c>
    </row>
    <row r="86" spans="1:5" ht="54" customHeight="1">
      <c r="A86" s="835" t="s">
        <v>3683</v>
      </c>
      <c r="B86" s="843" t="s">
        <v>3684</v>
      </c>
      <c r="C86" s="836" t="s">
        <v>3566</v>
      </c>
      <c r="D86" s="837">
        <v>15318.19</v>
      </c>
      <c r="E86" s="837">
        <v>18075.46</v>
      </c>
    </row>
    <row r="87" spans="1:5" ht="46.5" customHeight="1">
      <c r="A87" s="835" t="s">
        <v>3685</v>
      </c>
      <c r="B87" s="843" t="s">
        <v>3686</v>
      </c>
      <c r="C87" s="836" t="s">
        <v>3566</v>
      </c>
      <c r="D87" s="837">
        <v>17018.19</v>
      </c>
      <c r="E87" s="837">
        <v>20081.46</v>
      </c>
    </row>
    <row r="88" spans="1:5" ht="45" customHeight="1">
      <c r="A88" s="847" t="s">
        <v>3007</v>
      </c>
      <c r="B88" s="1015" t="s">
        <v>3687</v>
      </c>
      <c r="C88" s="1015"/>
      <c r="D88" s="1015"/>
      <c r="E88" s="1015"/>
    </row>
    <row r="89" spans="1:5" ht="47.25">
      <c r="A89" s="848" t="s">
        <v>3688</v>
      </c>
      <c r="B89" s="849" t="s">
        <v>3689</v>
      </c>
      <c r="C89" s="845" t="s">
        <v>3566</v>
      </c>
      <c r="D89" s="850">
        <v>868.19</v>
      </c>
      <c r="E89" s="850">
        <v>1024.46</v>
      </c>
    </row>
    <row r="90" spans="1:5" ht="47.25">
      <c r="A90" s="848" t="s">
        <v>3690</v>
      </c>
      <c r="B90" s="849" t="s">
        <v>3691</v>
      </c>
      <c r="C90" s="845" t="s">
        <v>3566</v>
      </c>
      <c r="D90" s="850">
        <v>1718.19</v>
      </c>
      <c r="E90" s="850">
        <v>2027.46</v>
      </c>
    </row>
    <row r="91" spans="1:5" ht="47.25">
      <c r="A91" s="848" t="s">
        <v>3692</v>
      </c>
      <c r="B91" s="849" t="s">
        <v>3693</v>
      </c>
      <c r="C91" s="845" t="s">
        <v>3566</v>
      </c>
      <c r="D91" s="850">
        <v>2738.19</v>
      </c>
      <c r="E91" s="850">
        <v>3231.06</v>
      </c>
    </row>
    <row r="92" spans="1:5" ht="50.25" customHeight="1">
      <c r="A92" s="848" t="s">
        <v>3694</v>
      </c>
      <c r="B92" s="851" t="s">
        <v>3695</v>
      </c>
      <c r="C92" s="845" t="s">
        <v>3566</v>
      </c>
      <c r="D92" s="851">
        <v>698.19</v>
      </c>
      <c r="E92" s="850">
        <v>823.86</v>
      </c>
    </row>
    <row r="93" spans="1:5" ht="47.25">
      <c r="A93" s="848" t="s">
        <v>3696</v>
      </c>
      <c r="B93" s="849" t="s">
        <v>3697</v>
      </c>
      <c r="C93" s="845" t="s">
        <v>3566</v>
      </c>
      <c r="D93" s="850">
        <v>868.19</v>
      </c>
      <c r="E93" s="850">
        <v>1024.46</v>
      </c>
    </row>
    <row r="94" spans="1:5" ht="47.25">
      <c r="A94" s="848" t="s">
        <v>3698</v>
      </c>
      <c r="B94" s="849" t="s">
        <v>3699</v>
      </c>
      <c r="C94" s="845" t="s">
        <v>3566</v>
      </c>
      <c r="D94" s="850">
        <v>1378.19</v>
      </c>
      <c r="E94" s="850">
        <v>1626.26</v>
      </c>
    </row>
    <row r="95" spans="1:5" ht="47.25">
      <c r="A95" s="848" t="s">
        <v>3700</v>
      </c>
      <c r="B95" s="849" t="s">
        <v>3701</v>
      </c>
      <c r="C95" s="845" t="s">
        <v>3566</v>
      </c>
      <c r="D95" s="850">
        <v>2738.19</v>
      </c>
      <c r="E95" s="850">
        <v>3231.06</v>
      </c>
    </row>
    <row r="96" spans="1:5" ht="31.5">
      <c r="A96" s="848" t="s">
        <v>3702</v>
      </c>
      <c r="B96" s="849" t="s">
        <v>3703</v>
      </c>
      <c r="C96" s="845" t="s">
        <v>3566</v>
      </c>
      <c r="D96" s="850">
        <v>698.19</v>
      </c>
      <c r="E96" s="850">
        <v>823.86</v>
      </c>
    </row>
    <row r="97" spans="1:5" ht="47.25">
      <c r="A97" s="848" t="s">
        <v>3704</v>
      </c>
      <c r="B97" s="849" t="s">
        <v>3705</v>
      </c>
      <c r="C97" s="845" t="s">
        <v>3566</v>
      </c>
      <c r="D97" s="850">
        <v>868.19</v>
      </c>
      <c r="E97" s="850">
        <v>1024.46</v>
      </c>
    </row>
    <row r="98" spans="1:5" ht="47.25">
      <c r="A98" s="848" t="s">
        <v>3706</v>
      </c>
      <c r="B98" s="849" t="s">
        <v>3707</v>
      </c>
      <c r="C98" s="845" t="s">
        <v>3566</v>
      </c>
      <c r="D98" s="850">
        <v>1378.19</v>
      </c>
      <c r="E98" s="850">
        <v>1626.26</v>
      </c>
    </row>
    <row r="99" spans="1:5" ht="47.25">
      <c r="A99" s="848" t="s">
        <v>3708</v>
      </c>
      <c r="B99" s="849" t="s">
        <v>3709</v>
      </c>
      <c r="C99" s="845" t="s">
        <v>3566</v>
      </c>
      <c r="D99" s="850">
        <v>2738.19</v>
      </c>
      <c r="E99" s="850">
        <v>3231.06</v>
      </c>
    </row>
    <row r="100" spans="1:5" ht="31.5">
      <c r="A100" s="848" t="s">
        <v>3710</v>
      </c>
      <c r="B100" s="849" t="s">
        <v>3711</v>
      </c>
      <c r="C100" s="845" t="s">
        <v>3566</v>
      </c>
      <c r="D100" s="850">
        <v>868.19</v>
      </c>
      <c r="E100" s="850">
        <v>1024.46</v>
      </c>
    </row>
    <row r="101" spans="1:5" ht="31.5">
      <c r="A101" s="848" t="s">
        <v>3712</v>
      </c>
      <c r="B101" s="849" t="s">
        <v>3713</v>
      </c>
      <c r="C101" s="845" t="s">
        <v>3566</v>
      </c>
      <c r="D101" s="850">
        <v>1718.19</v>
      </c>
      <c r="E101" s="850">
        <v>2027.46</v>
      </c>
    </row>
    <row r="102" spans="1:5" ht="31.5">
      <c r="A102" s="848" t="s">
        <v>3714</v>
      </c>
      <c r="B102" s="849" t="s">
        <v>3715</v>
      </c>
      <c r="C102" s="845" t="s">
        <v>3566</v>
      </c>
      <c r="D102" s="850">
        <v>2738.19</v>
      </c>
      <c r="E102" s="850">
        <v>3231.06</v>
      </c>
    </row>
    <row r="103" spans="1:5" ht="31.5">
      <c r="A103" s="852" t="s">
        <v>3716</v>
      </c>
      <c r="B103" s="853" t="s">
        <v>3717</v>
      </c>
      <c r="C103" s="836" t="s">
        <v>3566</v>
      </c>
      <c r="D103" s="854">
        <v>868.19</v>
      </c>
      <c r="E103" s="854">
        <v>1024.46</v>
      </c>
    </row>
    <row r="104" spans="1:5" ht="31.5">
      <c r="A104" s="852" t="s">
        <v>3718</v>
      </c>
      <c r="B104" s="853" t="s">
        <v>3719</v>
      </c>
      <c r="C104" s="836" t="s">
        <v>3566</v>
      </c>
      <c r="D104" s="854">
        <v>1718.19</v>
      </c>
      <c r="E104" s="854">
        <v>2027.46</v>
      </c>
    </row>
    <row r="105" spans="1:5" ht="31.5">
      <c r="A105" s="852" t="s">
        <v>3720</v>
      </c>
      <c r="B105" s="853" t="s">
        <v>3721</v>
      </c>
      <c r="C105" s="836" t="s">
        <v>3566</v>
      </c>
      <c r="D105" s="854">
        <v>2738.19</v>
      </c>
      <c r="E105" s="854">
        <v>3231.06</v>
      </c>
    </row>
    <row r="106" spans="1:5" ht="15">
      <c r="A106" s="855"/>
      <c r="B106" s="856"/>
      <c r="C106" s="857"/>
      <c r="D106" s="858"/>
      <c r="E106" s="858"/>
    </row>
    <row r="107" spans="1:5" ht="15">
      <c r="A107" s="855"/>
      <c r="B107" s="856"/>
      <c r="C107" s="857"/>
      <c r="D107" s="858"/>
      <c r="E107" s="858"/>
    </row>
    <row r="108" spans="1:5" ht="12.75">
      <c r="A108" s="1008" t="s">
        <v>3722</v>
      </c>
      <c r="B108" s="1008"/>
      <c r="C108" s="1008"/>
      <c r="D108" s="1008"/>
      <c r="E108" s="1008"/>
    </row>
    <row r="109" spans="1:5" ht="37.5" customHeight="1">
      <c r="A109" s="1008" t="s">
        <v>3723</v>
      </c>
      <c r="B109" s="1008"/>
      <c r="C109" s="1008"/>
      <c r="D109" s="1008"/>
      <c r="E109" s="1008"/>
    </row>
    <row r="110" spans="1:5" ht="28.5" customHeight="1">
      <c r="A110" s="1008"/>
      <c r="B110" s="1008"/>
      <c r="C110" s="1008"/>
      <c r="D110" s="1008"/>
      <c r="E110" s="1008"/>
    </row>
    <row r="111" spans="1:5" ht="15">
      <c r="A111" s="855"/>
      <c r="B111" s="856"/>
      <c r="C111" s="857"/>
      <c r="D111" s="858"/>
      <c r="E111" s="858"/>
    </row>
    <row r="112" spans="1:5" s="859" customFormat="1" ht="30" customHeight="1">
      <c r="A112" s="855"/>
      <c r="B112" s="856" t="s">
        <v>2819</v>
      </c>
      <c r="C112" s="857"/>
      <c r="D112" s="1009" t="s">
        <v>2820</v>
      </c>
      <c r="E112" s="1009"/>
    </row>
    <row r="113" spans="1:5" ht="15">
      <c r="A113" s="855"/>
      <c r="B113" s="856"/>
      <c r="C113" s="857"/>
      <c r="D113" s="858"/>
      <c r="E113" s="858"/>
    </row>
    <row r="114" spans="1:5" ht="15">
      <c r="A114" s="855"/>
      <c r="B114" s="856"/>
      <c r="C114" s="860"/>
      <c r="D114" s="858"/>
      <c r="E114" s="858"/>
    </row>
    <row r="115" spans="1:5" ht="15">
      <c r="A115" s="855"/>
      <c r="B115" s="856"/>
      <c r="C115" s="860"/>
      <c r="D115" s="858"/>
      <c r="E115" s="858"/>
    </row>
    <row r="116" spans="1:5" ht="15">
      <c r="A116" s="855"/>
      <c r="B116" s="856"/>
      <c r="C116" s="860"/>
      <c r="D116" s="858"/>
      <c r="E116" s="858"/>
    </row>
    <row r="117" spans="1:5" ht="15">
      <c r="A117" s="855"/>
      <c r="B117" s="856"/>
      <c r="C117" s="860"/>
      <c r="D117" s="858"/>
      <c r="E117" s="858"/>
    </row>
  </sheetData>
  <sheetProtection/>
  <mergeCells count="9">
    <mergeCell ref="A109:E109"/>
    <mergeCell ref="A110:E110"/>
    <mergeCell ref="D112:E112"/>
    <mergeCell ref="B4:E4"/>
    <mergeCell ref="A6:E6"/>
    <mergeCell ref="A7:E7"/>
    <mergeCell ref="B11:E11"/>
    <mergeCell ref="B88:E88"/>
    <mergeCell ref="A108:E108"/>
  </mergeCells>
  <printOptions/>
  <pageMargins left="0.31496062992125984" right="0.31496062992125984" top="0.35433070866141736" bottom="0.35433070866141736" header="0.31496062992125984" footer="0.31496062992125984"/>
  <pageSetup orientation="portrait" paperSize="9" r:id="rId1"/>
</worksheet>
</file>

<file path=xl/worksheets/sheet15.xml><?xml version="1.0" encoding="utf-8"?>
<worksheet xmlns="http://schemas.openxmlformats.org/spreadsheetml/2006/main" xmlns:r="http://schemas.openxmlformats.org/officeDocument/2006/relationships">
  <sheetPr>
    <tabColor rgb="FFFF0000"/>
  </sheetPr>
  <dimension ref="A1:E50"/>
  <sheetViews>
    <sheetView zoomScalePageLayoutView="0" workbookViewId="0" topLeftCell="A1">
      <selection activeCell="E1" sqref="E1:E3"/>
    </sheetView>
  </sheetViews>
  <sheetFormatPr defaultColWidth="9.00390625" defaultRowHeight="12.75"/>
  <cols>
    <col min="1" max="1" width="7.375" style="298" customWidth="1"/>
    <col min="2" max="2" width="51.25390625" style="794" customWidth="1"/>
    <col min="3" max="3" width="15.00390625" style="794" customWidth="1"/>
    <col min="4" max="4" width="11.75390625" style="794" customWidth="1"/>
    <col min="5" max="5" width="11.625" style="794" customWidth="1"/>
  </cols>
  <sheetData>
    <row r="1" ht="15.75">
      <c r="E1" s="861" t="s">
        <v>3729</v>
      </c>
    </row>
    <row r="2" ht="15.75">
      <c r="E2" s="644" t="s">
        <v>2822</v>
      </c>
    </row>
    <row r="3" ht="15.75">
      <c r="E3" s="81" t="s">
        <v>3556</v>
      </c>
    </row>
    <row r="4" spans="1:5" ht="15.75">
      <c r="A4" s="870"/>
      <c r="B4" s="1010"/>
      <c r="C4" s="1010"/>
      <c r="D4" s="1010"/>
      <c r="E4" s="1010"/>
    </row>
    <row r="5" spans="1:5" ht="15.75">
      <c r="A5" s="870"/>
      <c r="B5" s="214"/>
      <c r="D5" s="798"/>
      <c r="E5" s="796"/>
    </row>
    <row r="6" spans="1:5" ht="36" customHeight="1">
      <c r="A6" s="1011" t="s">
        <v>3728</v>
      </c>
      <c r="B6" s="1011"/>
      <c r="C6" s="1011"/>
      <c r="D6" s="1011"/>
      <c r="E6" s="1011"/>
    </row>
    <row r="7" spans="1:5" ht="14.25">
      <c r="A7" s="894" t="s">
        <v>3730</v>
      </c>
      <c r="B7" s="894"/>
      <c r="C7" s="894"/>
      <c r="D7" s="894"/>
      <c r="E7" s="894"/>
    </row>
    <row r="9" spans="1:5" ht="31.5">
      <c r="A9" s="799" t="s">
        <v>2522</v>
      </c>
      <c r="B9" s="800" t="s">
        <v>3559</v>
      </c>
      <c r="C9" s="800" t="s">
        <v>3560</v>
      </c>
      <c r="D9" s="800" t="s">
        <v>3561</v>
      </c>
      <c r="E9" s="800" t="s">
        <v>3562</v>
      </c>
    </row>
    <row r="10" spans="1:5" ht="15.75">
      <c r="A10" s="799">
        <v>1</v>
      </c>
      <c r="B10" s="800">
        <v>2</v>
      </c>
      <c r="C10" s="800">
        <v>3</v>
      </c>
      <c r="D10" s="800">
        <v>4</v>
      </c>
      <c r="E10" s="801">
        <v>5</v>
      </c>
    </row>
    <row r="11" spans="1:5" ht="15.75">
      <c r="A11" s="866" t="s">
        <v>3563</v>
      </c>
      <c r="B11" s="1020" t="s">
        <v>3564</v>
      </c>
      <c r="C11" s="1021"/>
      <c r="D11" s="1021"/>
      <c r="E11" s="1022"/>
    </row>
    <row r="12" spans="1:5" ht="15.75">
      <c r="A12" s="866" t="s">
        <v>2963</v>
      </c>
      <c r="B12" s="869" t="s">
        <v>3565</v>
      </c>
      <c r="C12" s="868" t="s">
        <v>3566</v>
      </c>
      <c r="D12" s="868"/>
      <c r="E12" s="868"/>
    </row>
    <row r="13" spans="1:5" ht="47.25">
      <c r="A13" s="799" t="s">
        <v>1965</v>
      </c>
      <c r="B13" s="800" t="s">
        <v>3567</v>
      </c>
      <c r="C13" s="804"/>
      <c r="D13" s="805">
        <v>14038</v>
      </c>
      <c r="E13" s="807">
        <v>16565</v>
      </c>
    </row>
    <row r="14" spans="1:5" ht="15.75">
      <c r="A14" s="866" t="s">
        <v>2970</v>
      </c>
      <c r="B14" s="869" t="s">
        <v>3568</v>
      </c>
      <c r="C14" s="868" t="s">
        <v>3566</v>
      </c>
      <c r="D14" s="868"/>
      <c r="E14" s="868"/>
    </row>
    <row r="15" spans="1:5" ht="63">
      <c r="A15" s="799" t="s">
        <v>2971</v>
      </c>
      <c r="B15" s="800" t="s">
        <v>3569</v>
      </c>
      <c r="C15" s="806"/>
      <c r="D15" s="807">
        <v>17871</v>
      </c>
      <c r="E15" s="807">
        <v>21088</v>
      </c>
    </row>
    <row r="16" spans="1:5" ht="47.25">
      <c r="A16" s="799" t="s">
        <v>2972</v>
      </c>
      <c r="B16" s="800" t="s">
        <v>3570</v>
      </c>
      <c r="C16" s="808"/>
      <c r="D16" s="809">
        <v>17871</v>
      </c>
      <c r="E16" s="807">
        <v>21088</v>
      </c>
    </row>
    <row r="17" spans="1:5" ht="31.5">
      <c r="A17" s="799" t="s">
        <v>3572</v>
      </c>
      <c r="B17" s="800" t="s">
        <v>3573</v>
      </c>
      <c r="C17" s="808"/>
      <c r="D17" s="809">
        <v>17871</v>
      </c>
      <c r="E17" s="807">
        <v>21088</v>
      </c>
    </row>
    <row r="18" spans="1:5" ht="47.25">
      <c r="A18" s="814" t="s">
        <v>3574</v>
      </c>
      <c r="B18" s="815" t="s">
        <v>3575</v>
      </c>
      <c r="C18" s="816"/>
      <c r="D18" s="817">
        <v>17871</v>
      </c>
      <c r="E18" s="807">
        <v>21088</v>
      </c>
    </row>
    <row r="19" spans="1:5" ht="63">
      <c r="A19" s="818" t="s">
        <v>3576</v>
      </c>
      <c r="B19" s="819" t="s">
        <v>3577</v>
      </c>
      <c r="C19" s="820"/>
      <c r="D19" s="821">
        <v>9672</v>
      </c>
      <c r="E19" s="807">
        <v>11413</v>
      </c>
    </row>
    <row r="20" spans="1:5" ht="15.75">
      <c r="A20" s="867" t="s">
        <v>2974</v>
      </c>
      <c r="B20" s="865" t="s">
        <v>3578</v>
      </c>
      <c r="C20" s="864" t="s">
        <v>3566</v>
      </c>
      <c r="D20" s="864"/>
      <c r="E20" s="807"/>
    </row>
    <row r="21" spans="1:5" ht="47.25">
      <c r="A21" s="799" t="s">
        <v>2975</v>
      </c>
      <c r="B21" s="800" t="s">
        <v>3579</v>
      </c>
      <c r="C21" s="806"/>
      <c r="D21" s="807">
        <v>25174</v>
      </c>
      <c r="E21" s="807">
        <v>29705</v>
      </c>
    </row>
    <row r="22" spans="1:5" ht="47.25">
      <c r="A22" s="799" t="s">
        <v>2977</v>
      </c>
      <c r="B22" s="800" t="s">
        <v>3581</v>
      </c>
      <c r="C22" s="808"/>
      <c r="D22" s="809">
        <v>25174</v>
      </c>
      <c r="E22" s="807">
        <v>29705</v>
      </c>
    </row>
    <row r="23" spans="1:5" ht="47.25">
      <c r="A23" s="799" t="s">
        <v>2978</v>
      </c>
      <c r="B23" s="815" t="s">
        <v>3582</v>
      </c>
      <c r="C23" s="816"/>
      <c r="D23" s="817">
        <v>25174</v>
      </c>
      <c r="E23" s="807">
        <v>29705</v>
      </c>
    </row>
    <row r="24" spans="1:5" ht="78.75">
      <c r="A24" s="825" t="s">
        <v>2979</v>
      </c>
      <c r="B24" s="803" t="s">
        <v>3583</v>
      </c>
      <c r="C24" s="826"/>
      <c r="D24" s="827">
        <v>25174</v>
      </c>
      <c r="E24" s="807">
        <v>29705</v>
      </c>
    </row>
    <row r="25" spans="1:5" ht="63">
      <c r="A25" s="828" t="s">
        <v>2980</v>
      </c>
      <c r="B25" s="819" t="s">
        <v>3584</v>
      </c>
      <c r="C25" s="820"/>
      <c r="D25" s="829">
        <v>12881</v>
      </c>
      <c r="E25" s="807">
        <v>15120</v>
      </c>
    </row>
    <row r="26" spans="1:5" ht="63">
      <c r="A26" s="828" t="s">
        <v>2981</v>
      </c>
      <c r="B26" s="819" t="s">
        <v>3726</v>
      </c>
      <c r="C26" s="820"/>
      <c r="D26" s="829">
        <v>25174</v>
      </c>
      <c r="E26" s="829">
        <v>29705</v>
      </c>
    </row>
    <row r="27" spans="1:5" ht="15.75">
      <c r="A27" s="866" t="s">
        <v>2983</v>
      </c>
      <c r="B27" s="865" t="s">
        <v>3585</v>
      </c>
      <c r="C27" s="864" t="s">
        <v>3566</v>
      </c>
      <c r="D27" s="864"/>
      <c r="E27" s="864"/>
    </row>
    <row r="28" spans="1:5" ht="47.25">
      <c r="A28" s="810" t="s">
        <v>2984</v>
      </c>
      <c r="B28" s="811" t="s">
        <v>3586</v>
      </c>
      <c r="C28" s="830"/>
      <c r="D28" s="831">
        <v>37184</v>
      </c>
      <c r="E28" s="807">
        <v>43877</v>
      </c>
    </row>
    <row r="29" spans="1:5" ht="63">
      <c r="A29" s="799" t="s">
        <v>2985</v>
      </c>
      <c r="B29" s="800" t="s">
        <v>3587</v>
      </c>
      <c r="C29" s="808"/>
      <c r="D29" s="809">
        <v>37184</v>
      </c>
      <c r="E29" s="807">
        <v>43877</v>
      </c>
    </row>
    <row r="30" spans="1:5" ht="47.25">
      <c r="A30" s="799" t="s">
        <v>2986</v>
      </c>
      <c r="B30" s="800" t="s">
        <v>3588</v>
      </c>
      <c r="C30" s="808"/>
      <c r="D30" s="809">
        <v>37184</v>
      </c>
      <c r="E30" s="807">
        <v>43877</v>
      </c>
    </row>
    <row r="31" spans="1:5" ht="31.5">
      <c r="A31" s="814" t="s">
        <v>2987</v>
      </c>
      <c r="B31" s="815" t="s">
        <v>3589</v>
      </c>
      <c r="C31" s="816"/>
      <c r="D31" s="817">
        <v>37184</v>
      </c>
      <c r="E31" s="807">
        <v>43877</v>
      </c>
    </row>
    <row r="32" spans="1:5" ht="31.5">
      <c r="A32" s="832" t="s">
        <v>2988</v>
      </c>
      <c r="B32" s="803" t="s">
        <v>3590</v>
      </c>
      <c r="C32" s="826"/>
      <c r="D32" s="827">
        <v>37184</v>
      </c>
      <c r="E32" s="807">
        <v>43877</v>
      </c>
    </row>
    <row r="33" spans="1:5" ht="29.25">
      <c r="A33" s="863" t="s">
        <v>3003</v>
      </c>
      <c r="B33" s="862" t="s">
        <v>3597</v>
      </c>
      <c r="C33" s="836"/>
      <c r="D33" s="837"/>
      <c r="E33" s="837"/>
    </row>
    <row r="34" spans="1:5" ht="60">
      <c r="A34" s="835" t="s">
        <v>3004</v>
      </c>
      <c r="B34" s="843" t="s">
        <v>3598</v>
      </c>
      <c r="C34" s="836" t="s">
        <v>3566</v>
      </c>
      <c r="D34" s="807">
        <v>28008</v>
      </c>
      <c r="E34" s="807">
        <v>33049</v>
      </c>
    </row>
    <row r="35" spans="1:5" ht="60">
      <c r="A35" s="835" t="s">
        <v>3005</v>
      </c>
      <c r="B35" s="843" t="s">
        <v>3599</v>
      </c>
      <c r="C35" s="836" t="s">
        <v>3566</v>
      </c>
      <c r="D35" s="807">
        <v>28008</v>
      </c>
      <c r="E35" s="807">
        <v>33049</v>
      </c>
    </row>
    <row r="36" spans="1:5" ht="60">
      <c r="A36" s="835" t="s">
        <v>3683</v>
      </c>
      <c r="B36" s="843" t="s">
        <v>3684</v>
      </c>
      <c r="C36" s="836" t="s">
        <v>3566</v>
      </c>
      <c r="D36" s="807">
        <v>28008</v>
      </c>
      <c r="E36" s="807">
        <v>33049</v>
      </c>
    </row>
    <row r="37" spans="1:5" ht="60">
      <c r="A37" s="835" t="s">
        <v>3685</v>
      </c>
      <c r="B37" s="843" t="s">
        <v>3686</v>
      </c>
      <c r="C37" s="836" t="s">
        <v>3566</v>
      </c>
      <c r="D37" s="807">
        <v>28008</v>
      </c>
      <c r="E37" s="807">
        <v>33049</v>
      </c>
    </row>
    <row r="38" spans="1:5" ht="15">
      <c r="A38" s="855"/>
      <c r="B38" s="856"/>
      <c r="C38" s="860"/>
      <c r="D38" s="858"/>
      <c r="E38" s="858"/>
    </row>
    <row r="39" spans="1:5" ht="13.5">
      <c r="A39" s="1023" t="s">
        <v>3722</v>
      </c>
      <c r="B39" s="1023"/>
      <c r="C39" s="1023"/>
      <c r="D39" s="1023"/>
      <c r="E39" s="1023"/>
    </row>
    <row r="40" spans="1:5" ht="90" customHeight="1">
      <c r="A40" s="1016" t="s">
        <v>3727</v>
      </c>
      <c r="B40" s="1016"/>
      <c r="C40" s="1016"/>
      <c r="D40" s="1016"/>
      <c r="E40" s="1016"/>
    </row>
    <row r="41" spans="1:5" ht="15">
      <c r="A41" s="1017"/>
      <c r="B41" s="1017"/>
      <c r="C41" s="1017"/>
      <c r="D41" s="1017"/>
      <c r="E41" s="1017"/>
    </row>
    <row r="42" spans="1:5" ht="15">
      <c r="A42" s="855"/>
      <c r="B42" s="856"/>
      <c r="C42" s="860"/>
      <c r="D42" s="858"/>
      <c r="E42" s="858"/>
    </row>
    <row r="43" spans="1:5" ht="15">
      <c r="A43" s="855"/>
      <c r="B43" s="856"/>
      <c r="C43" s="860"/>
      <c r="D43" s="858"/>
      <c r="E43" s="858"/>
    </row>
    <row r="44" spans="1:5" ht="15">
      <c r="A44" s="855"/>
      <c r="B44" s="856"/>
      <c r="C44" s="860"/>
      <c r="D44" s="858"/>
      <c r="E44" s="858"/>
    </row>
    <row r="45" spans="1:5" s="859" customFormat="1" ht="15">
      <c r="A45" s="1018" t="s">
        <v>2819</v>
      </c>
      <c r="B45" s="1018"/>
      <c r="C45" s="860"/>
      <c r="D45" s="1019" t="s">
        <v>2820</v>
      </c>
      <c r="E45" s="1019"/>
    </row>
    <row r="46" spans="1:5" ht="15">
      <c r="A46" s="855"/>
      <c r="B46" s="856"/>
      <c r="C46" s="860"/>
      <c r="D46" s="858"/>
      <c r="E46" s="858"/>
    </row>
    <row r="47" spans="1:5" ht="15">
      <c r="A47" s="855"/>
      <c r="B47" s="856"/>
      <c r="C47" s="860"/>
      <c r="D47" s="858"/>
      <c r="E47" s="858"/>
    </row>
    <row r="48" spans="1:5" ht="15">
      <c r="A48" s="855"/>
      <c r="B48" s="856"/>
      <c r="C48" s="860"/>
      <c r="D48" s="858"/>
      <c r="E48" s="858"/>
    </row>
    <row r="49" spans="1:5" ht="15">
      <c r="A49" s="855"/>
      <c r="B49" s="856"/>
      <c r="C49" s="860"/>
      <c r="D49" s="858"/>
      <c r="E49" s="858"/>
    </row>
    <row r="50" spans="1:5" ht="15">
      <c r="A50" s="855"/>
      <c r="B50" s="856"/>
      <c r="C50" s="860"/>
      <c r="D50" s="858"/>
      <c r="E50" s="858"/>
    </row>
  </sheetData>
  <sheetProtection/>
  <mergeCells count="9">
    <mergeCell ref="A40:E40"/>
    <mergeCell ref="A41:E41"/>
    <mergeCell ref="A45:B45"/>
    <mergeCell ref="D45:E45"/>
    <mergeCell ref="B4:E4"/>
    <mergeCell ref="A6:E6"/>
    <mergeCell ref="A7:E7"/>
    <mergeCell ref="B11:E11"/>
    <mergeCell ref="A39:E39"/>
  </mergeCells>
  <printOptions/>
  <pageMargins left="0.31496062992125984" right="0.31496062992125984" top="0.35433070866141736" bottom="0.35433070866141736" header="0.31496062992125984" footer="0.31496062992125984"/>
  <pageSetup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A1:G42"/>
  <sheetViews>
    <sheetView tabSelected="1" zoomScalePageLayoutView="0" workbookViewId="0" topLeftCell="A22">
      <selection activeCell="K45" sqref="K45"/>
    </sheetView>
  </sheetViews>
  <sheetFormatPr defaultColWidth="9.00390625" defaultRowHeight="12.75"/>
  <cols>
    <col min="1" max="1" width="7.375" style="2" customWidth="1"/>
    <col min="2" max="2" width="55.125" style="2" customWidth="1"/>
    <col min="3" max="3" width="17.875" style="2" customWidth="1"/>
    <col min="4" max="16384" width="9.125" style="2" customWidth="1"/>
  </cols>
  <sheetData>
    <row r="1" spans="3:7" ht="12.75">
      <c r="C1" s="871" t="s">
        <v>3763</v>
      </c>
      <c r="G1" s="872"/>
    </row>
    <row r="2" spans="3:7" ht="12.75">
      <c r="C2" s="873" t="s">
        <v>2822</v>
      </c>
      <c r="G2" s="872"/>
    </row>
    <row r="3" spans="3:7" ht="12.75">
      <c r="C3" s="874" t="s">
        <v>3556</v>
      </c>
      <c r="G3" s="872"/>
    </row>
    <row r="6" spans="1:3" s="876" customFormat="1" ht="25.5">
      <c r="A6" s="875" t="s">
        <v>1483</v>
      </c>
      <c r="B6" s="875" t="s">
        <v>3731</v>
      </c>
      <c r="C6" s="875" t="s">
        <v>3764</v>
      </c>
    </row>
    <row r="7" spans="1:3" ht="12.75">
      <c r="A7" s="26">
        <v>1</v>
      </c>
      <c r="B7" s="26" t="s">
        <v>3732</v>
      </c>
      <c r="C7" s="877">
        <v>1.4</v>
      </c>
    </row>
    <row r="8" spans="1:3" ht="12.75">
      <c r="A8" s="26">
        <v>2</v>
      </c>
      <c r="B8" s="26" t="s">
        <v>3733</v>
      </c>
      <c r="C8" s="878">
        <v>1</v>
      </c>
    </row>
    <row r="9" spans="1:3" ht="12.75">
      <c r="A9" s="26">
        <v>3</v>
      </c>
      <c r="B9" s="26" t="s">
        <v>3734</v>
      </c>
      <c r="C9" s="877">
        <v>1.4</v>
      </c>
    </row>
    <row r="10" spans="1:3" ht="12.75">
      <c r="A10" s="26">
        <v>4</v>
      </c>
      <c r="B10" s="26" t="s">
        <v>3735</v>
      </c>
      <c r="C10" s="877">
        <v>1</v>
      </c>
    </row>
    <row r="11" spans="1:3" ht="12.75">
      <c r="A11" s="26">
        <v>5</v>
      </c>
      <c r="B11" s="26" t="s">
        <v>3736</v>
      </c>
      <c r="C11" s="877">
        <v>1.4</v>
      </c>
    </row>
    <row r="12" spans="1:3" ht="12.75">
      <c r="A12" s="26">
        <v>6</v>
      </c>
      <c r="B12" s="26" t="s">
        <v>3737</v>
      </c>
      <c r="C12" s="877">
        <v>1.4</v>
      </c>
    </row>
    <row r="13" spans="1:3" ht="12.75">
      <c r="A13" s="26">
        <v>7</v>
      </c>
      <c r="B13" s="26" t="s">
        <v>3738</v>
      </c>
      <c r="C13" s="877">
        <v>1.1</v>
      </c>
    </row>
    <row r="14" spans="1:3" ht="12.75">
      <c r="A14" s="26">
        <v>8</v>
      </c>
      <c r="B14" s="26" t="s">
        <v>3739</v>
      </c>
      <c r="C14" s="877">
        <v>1.2</v>
      </c>
    </row>
    <row r="15" spans="1:3" ht="12.75">
      <c r="A15" s="26">
        <v>9</v>
      </c>
      <c r="B15" s="26" t="s">
        <v>3740</v>
      </c>
      <c r="C15" s="877">
        <v>1.2</v>
      </c>
    </row>
    <row r="16" spans="1:3" ht="12.75">
      <c r="A16" s="26">
        <v>10</v>
      </c>
      <c r="B16" s="26" t="s">
        <v>3741</v>
      </c>
      <c r="C16" s="877">
        <v>1.1</v>
      </c>
    </row>
    <row r="17" spans="1:3" ht="12.75">
      <c r="A17" s="26">
        <v>11</v>
      </c>
      <c r="B17" s="26" t="s">
        <v>3742</v>
      </c>
      <c r="C17" s="877">
        <v>1</v>
      </c>
    </row>
    <row r="18" spans="1:3" ht="12.75">
      <c r="A18" s="26">
        <v>12</v>
      </c>
      <c r="B18" s="26" t="s">
        <v>3743</v>
      </c>
      <c r="C18" s="877">
        <v>1.2</v>
      </c>
    </row>
    <row r="19" spans="1:3" ht="12.75">
      <c r="A19" s="26">
        <v>13</v>
      </c>
      <c r="B19" s="26" t="s">
        <v>3744</v>
      </c>
      <c r="C19" s="877">
        <v>1.2</v>
      </c>
    </row>
    <row r="20" spans="1:3" ht="12.75">
      <c r="A20" s="26">
        <v>14</v>
      </c>
      <c r="B20" s="26" t="s">
        <v>3745</v>
      </c>
      <c r="C20" s="878">
        <v>1.4</v>
      </c>
    </row>
    <row r="21" spans="1:3" ht="12.75">
      <c r="A21" s="26">
        <v>15</v>
      </c>
      <c r="B21" s="26" t="s">
        <v>3746</v>
      </c>
      <c r="C21" s="877">
        <v>1</v>
      </c>
    </row>
    <row r="22" spans="1:3" ht="12.75">
      <c r="A22" s="26">
        <v>16</v>
      </c>
      <c r="B22" s="26" t="s">
        <v>3747</v>
      </c>
      <c r="C22" s="877">
        <v>1.4</v>
      </c>
    </row>
    <row r="23" spans="1:3" ht="12.75">
      <c r="A23" s="26">
        <v>17</v>
      </c>
      <c r="B23" s="26" t="s">
        <v>3748</v>
      </c>
      <c r="C23" s="877">
        <v>1</v>
      </c>
    </row>
    <row r="24" spans="1:3" ht="12.75">
      <c r="A24" s="26">
        <v>18</v>
      </c>
      <c r="B24" s="26" t="s">
        <v>3749</v>
      </c>
      <c r="C24" s="877">
        <v>1.4</v>
      </c>
    </row>
    <row r="25" spans="1:3" ht="12.75">
      <c r="A25" s="26">
        <v>19</v>
      </c>
      <c r="B25" s="26" t="s">
        <v>3750</v>
      </c>
      <c r="C25" s="877">
        <v>1.1</v>
      </c>
    </row>
    <row r="26" spans="1:3" ht="12.75">
      <c r="A26" s="26">
        <v>20</v>
      </c>
      <c r="B26" s="26" t="s">
        <v>3751</v>
      </c>
      <c r="C26" s="877">
        <v>1.2</v>
      </c>
    </row>
    <row r="27" spans="1:3" ht="12.75">
      <c r="A27" s="26">
        <v>21</v>
      </c>
      <c r="B27" s="26" t="s">
        <v>3752</v>
      </c>
      <c r="C27" s="877">
        <v>1</v>
      </c>
    </row>
    <row r="28" spans="1:3" ht="12.75">
      <c r="A28" s="26">
        <v>22</v>
      </c>
      <c r="B28" s="26" t="s">
        <v>3753</v>
      </c>
      <c r="C28" s="877">
        <v>1.2</v>
      </c>
    </row>
    <row r="29" spans="1:3" ht="12.75">
      <c r="A29" s="26">
        <v>23</v>
      </c>
      <c r="B29" s="26" t="s">
        <v>3754</v>
      </c>
      <c r="C29" s="877">
        <v>1.2</v>
      </c>
    </row>
    <row r="30" spans="1:3" ht="12.75">
      <c r="A30" s="26">
        <v>24</v>
      </c>
      <c r="B30" s="26" t="s">
        <v>3755</v>
      </c>
      <c r="C30" s="877">
        <v>1.1</v>
      </c>
    </row>
    <row r="31" spans="1:3" ht="12.75">
      <c r="A31" s="26">
        <v>25</v>
      </c>
      <c r="B31" s="26" t="s">
        <v>3756</v>
      </c>
      <c r="C31" s="877">
        <v>1</v>
      </c>
    </row>
    <row r="32" spans="1:3" ht="12.75">
      <c r="A32" s="26">
        <v>26</v>
      </c>
      <c r="B32" s="26" t="s">
        <v>3757</v>
      </c>
      <c r="C32" s="877">
        <v>1.1</v>
      </c>
    </row>
    <row r="33" spans="1:3" ht="12.75">
      <c r="A33" s="26">
        <v>27</v>
      </c>
      <c r="B33" s="26" t="s">
        <v>3758</v>
      </c>
      <c r="C33" s="877">
        <v>1</v>
      </c>
    </row>
    <row r="34" spans="1:3" ht="12.75">
      <c r="A34" s="26">
        <v>28</v>
      </c>
      <c r="B34" s="26" t="s">
        <v>3759</v>
      </c>
      <c r="C34" s="877">
        <v>1.2</v>
      </c>
    </row>
    <row r="35" spans="1:3" ht="12.75">
      <c r="A35" s="26">
        <v>29</v>
      </c>
      <c r="B35" s="26" t="s">
        <v>3760</v>
      </c>
      <c r="C35" s="877">
        <v>1.4</v>
      </c>
    </row>
    <row r="36" spans="1:3" ht="12.75">
      <c r="A36" s="26">
        <v>30</v>
      </c>
      <c r="B36" s="26" t="s">
        <v>3761</v>
      </c>
      <c r="C36" s="877">
        <v>1</v>
      </c>
    </row>
    <row r="37" spans="1:3" ht="12.75">
      <c r="A37" s="26">
        <v>31</v>
      </c>
      <c r="B37" s="26" t="s">
        <v>3762</v>
      </c>
      <c r="C37" s="877">
        <v>1</v>
      </c>
    </row>
    <row r="38" spans="1:3" ht="12.75">
      <c r="A38" s="99"/>
      <c r="B38" s="99"/>
      <c r="C38" s="880"/>
    </row>
    <row r="39" spans="1:3" ht="12.75">
      <c r="A39" s="99"/>
      <c r="B39" s="99"/>
      <c r="C39" s="880"/>
    </row>
    <row r="42" spans="2:3" s="11" customFormat="1" ht="12.75">
      <c r="B42" s="11" t="s">
        <v>2819</v>
      </c>
      <c r="C42" s="879" t="s">
        <v>2820</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J17"/>
  <sheetViews>
    <sheetView zoomScalePageLayoutView="0" workbookViewId="0" topLeftCell="A1">
      <selection activeCell="L19" sqref="L19"/>
    </sheetView>
  </sheetViews>
  <sheetFormatPr defaultColWidth="9.00390625" defaultRowHeight="12.75"/>
  <cols>
    <col min="1" max="1" width="5.875" style="179" customWidth="1"/>
    <col min="2" max="2" width="50.75390625" style="2" customWidth="1"/>
    <col min="3" max="3" width="12.00390625" style="17" hidden="1" customWidth="1"/>
    <col min="4" max="4" width="12.00390625" style="53" hidden="1" customWidth="1"/>
    <col min="5" max="5" width="11.00390625" style="44" hidden="1" customWidth="1"/>
    <col min="6" max="6" width="13.625" style="0" customWidth="1"/>
    <col min="7" max="7" width="13.125" style="0" customWidth="1"/>
  </cols>
  <sheetData>
    <row r="1" spans="1:7" ht="12.75">
      <c r="A1" s="121"/>
      <c r="B1" s="5"/>
      <c r="C1"/>
      <c r="D1" s="54"/>
      <c r="E1" s="45"/>
      <c r="G1" s="4" t="s">
        <v>3018</v>
      </c>
    </row>
    <row r="2" spans="1:7" ht="12.75">
      <c r="A2" s="121"/>
      <c r="B2" s="5"/>
      <c r="C2"/>
      <c r="D2" s="54"/>
      <c r="E2" s="46"/>
      <c r="G2" s="81" t="s">
        <v>2822</v>
      </c>
    </row>
    <row r="3" spans="1:7" ht="12.75">
      <c r="A3" s="121"/>
      <c r="B3" s="5"/>
      <c r="C3"/>
      <c r="D3" s="54"/>
      <c r="E3" s="46"/>
      <c r="G3" s="81" t="s">
        <v>3556</v>
      </c>
    </row>
    <row r="4" spans="1:7" ht="12.75">
      <c r="A4" s="121"/>
      <c r="B4" s="5"/>
      <c r="C4"/>
      <c r="D4" s="54"/>
      <c r="E4" s="48"/>
      <c r="F4" s="4"/>
      <c r="G4" s="48"/>
    </row>
    <row r="5" spans="1:10" ht="15" customHeight="1">
      <c r="A5" s="897" t="s">
        <v>3551</v>
      </c>
      <c r="B5" s="897"/>
      <c r="C5" s="897"/>
      <c r="D5" s="897"/>
      <c r="E5" s="897"/>
      <c r="F5" s="897"/>
      <c r="G5" s="897"/>
      <c r="H5" s="214"/>
      <c r="I5" s="214"/>
      <c r="J5" s="214"/>
    </row>
    <row r="6" spans="1:10" ht="15" customHeight="1">
      <c r="A6" s="897" t="s">
        <v>2823</v>
      </c>
      <c r="B6" s="897"/>
      <c r="C6" s="897"/>
      <c r="D6" s="897"/>
      <c r="E6" s="897"/>
      <c r="F6" s="897"/>
      <c r="G6" s="897"/>
      <c r="H6" s="214"/>
      <c r="I6" s="214"/>
      <c r="J6" s="214"/>
    </row>
    <row r="7" spans="1:10" ht="15" customHeight="1">
      <c r="A7" s="898" t="s">
        <v>1161</v>
      </c>
      <c r="B7" s="898"/>
      <c r="C7" s="898"/>
      <c r="D7" s="898"/>
      <c r="E7" s="898"/>
      <c r="F7" s="898"/>
      <c r="G7" s="898"/>
      <c r="H7" s="215"/>
      <c r="I7" s="215"/>
      <c r="J7" s="215"/>
    </row>
    <row r="8" spans="1:10" s="22" customFormat="1" ht="15.75">
      <c r="A8" s="899" t="s">
        <v>3553</v>
      </c>
      <c r="B8" s="899"/>
      <c r="C8" s="899"/>
      <c r="D8" s="899"/>
      <c r="E8" s="899"/>
      <c r="F8" s="899"/>
      <c r="G8" s="899"/>
      <c r="H8" s="216"/>
      <c r="I8" s="216"/>
      <c r="J8" s="216"/>
    </row>
    <row r="10" spans="1:7" ht="25.5">
      <c r="A10" s="425" t="s">
        <v>2522</v>
      </c>
      <c r="B10" s="405" t="s">
        <v>779</v>
      </c>
      <c r="C10" s="8" t="s">
        <v>335</v>
      </c>
      <c r="D10" s="491" t="s">
        <v>336</v>
      </c>
      <c r="E10" s="492" t="s">
        <v>337</v>
      </c>
      <c r="F10" s="491" t="s">
        <v>336</v>
      </c>
      <c r="G10" s="492" t="s">
        <v>337</v>
      </c>
    </row>
    <row r="11" spans="1:7" ht="12.75">
      <c r="A11" s="405">
        <v>1</v>
      </c>
      <c r="B11" s="405">
        <v>2</v>
      </c>
      <c r="C11" s="14">
        <v>3</v>
      </c>
      <c r="D11" s="492"/>
      <c r="E11" s="492"/>
      <c r="F11" s="492">
        <v>4</v>
      </c>
      <c r="G11" s="492">
        <v>5</v>
      </c>
    </row>
    <row r="12" spans="1:7" ht="14.25">
      <c r="A12" s="896" t="s">
        <v>3019</v>
      </c>
      <c r="B12" s="896"/>
      <c r="C12" s="896"/>
      <c r="D12" s="896"/>
      <c r="E12" s="896"/>
      <c r="F12" s="896"/>
      <c r="G12" s="896"/>
    </row>
    <row r="13" spans="1:8" ht="25.5">
      <c r="A13" s="512" t="s">
        <v>3009</v>
      </c>
      <c r="B13" s="253" t="s">
        <v>2461</v>
      </c>
      <c r="C13" s="15" t="s">
        <v>2462</v>
      </c>
      <c r="D13" s="57"/>
      <c r="E13" s="32"/>
      <c r="F13" s="25">
        <f>186.44*1.1</f>
        <v>205.084</v>
      </c>
      <c r="G13" s="619">
        <f>F13*1.18</f>
        <v>241.99912</v>
      </c>
      <c r="H13" s="4"/>
    </row>
    <row r="14" spans="1:8" ht="25.5">
      <c r="A14" s="512" t="s">
        <v>3010</v>
      </c>
      <c r="B14" s="253" t="s">
        <v>2624</v>
      </c>
      <c r="C14" s="15">
        <v>0.5</v>
      </c>
      <c r="D14" s="57"/>
      <c r="E14" s="32"/>
      <c r="F14" s="110">
        <f>84.74*1.1</f>
        <v>93.214</v>
      </c>
      <c r="G14" s="619">
        <f>F14*1.18</f>
        <v>109.99252</v>
      </c>
      <c r="H14" s="4"/>
    </row>
    <row r="15" spans="1:7" ht="15.75">
      <c r="A15" s="295"/>
      <c r="B15" s="137"/>
      <c r="C15" s="295"/>
      <c r="D15" s="294"/>
      <c r="E15" s="300"/>
      <c r="F15" s="136"/>
      <c r="G15" s="295"/>
    </row>
    <row r="16" spans="2:6" ht="30.75" customHeight="1">
      <c r="B16" s="66"/>
      <c r="C16" s="67" t="s">
        <v>3020</v>
      </c>
      <c r="D16" s="12"/>
      <c r="E16" s="53"/>
      <c r="F16" s="44"/>
    </row>
    <row r="17" spans="1:7" ht="15.75">
      <c r="A17" s="140"/>
      <c r="B17" s="144" t="s">
        <v>2819</v>
      </c>
      <c r="C17" s="295"/>
      <c r="D17" s="393"/>
      <c r="G17" s="299" t="s">
        <v>2820</v>
      </c>
    </row>
  </sheetData>
  <sheetProtection/>
  <mergeCells count="5">
    <mergeCell ref="A12:G12"/>
    <mergeCell ref="A5:G5"/>
    <mergeCell ref="A6:G6"/>
    <mergeCell ref="A7:G7"/>
    <mergeCell ref="A8:G8"/>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E686"/>
  <sheetViews>
    <sheetView zoomScalePageLayoutView="0" workbookViewId="0" topLeftCell="A1">
      <selection activeCell="G24" sqref="G24"/>
    </sheetView>
  </sheetViews>
  <sheetFormatPr defaultColWidth="9.00390625" defaultRowHeight="12.75"/>
  <cols>
    <col min="1" max="1" width="8.875" style="154" customWidth="1"/>
    <col min="2" max="2" width="48.125" style="133" customWidth="1"/>
    <col min="3" max="3" width="14.625" style="584" customWidth="1"/>
    <col min="4" max="4" width="14.875" style="140" customWidth="1"/>
  </cols>
  <sheetData>
    <row r="1" spans="1:4" ht="12.75">
      <c r="A1" s="153"/>
      <c r="B1" s="139"/>
      <c r="D1" s="4" t="s">
        <v>2476</v>
      </c>
    </row>
    <row r="2" spans="1:4" ht="12.75">
      <c r="A2" s="153"/>
      <c r="B2" s="139"/>
      <c r="D2" s="81" t="s">
        <v>2822</v>
      </c>
    </row>
    <row r="3" spans="1:4" ht="12.75">
      <c r="A3" s="153"/>
      <c r="B3" s="139"/>
      <c r="D3" s="81" t="s">
        <v>3556</v>
      </c>
    </row>
    <row r="4" spans="1:4" ht="12.75">
      <c r="A4" s="153"/>
      <c r="B4" s="139"/>
      <c r="D4" s="141"/>
    </row>
    <row r="5" spans="1:4" ht="12.75">
      <c r="A5" s="153"/>
      <c r="B5" s="139"/>
      <c r="D5" s="141"/>
    </row>
    <row r="6" spans="1:4" ht="12.75">
      <c r="A6" s="153"/>
      <c r="B6" s="139"/>
      <c r="D6" s="142"/>
    </row>
    <row r="7" spans="1:4" ht="15" customHeight="1">
      <c r="A7" s="900" t="s">
        <v>3551</v>
      </c>
      <c r="B7" s="900"/>
      <c r="C7" s="900"/>
      <c r="D7" s="900"/>
    </row>
    <row r="8" spans="1:4" ht="15" customHeight="1">
      <c r="A8" s="900" t="s">
        <v>2823</v>
      </c>
      <c r="B8" s="900"/>
      <c r="C8" s="900"/>
      <c r="D8" s="900"/>
    </row>
    <row r="9" spans="1:4" ht="15" customHeight="1">
      <c r="A9" s="901" t="s">
        <v>1161</v>
      </c>
      <c r="B9" s="901"/>
      <c r="C9" s="901"/>
      <c r="D9" s="901"/>
    </row>
    <row r="10" spans="1:4" ht="15" customHeight="1">
      <c r="A10" s="901" t="s">
        <v>3553</v>
      </c>
      <c r="B10" s="901"/>
      <c r="C10" s="901"/>
      <c r="D10" s="901"/>
    </row>
    <row r="11" spans="1:4" ht="15" customHeight="1" thickBot="1">
      <c r="A11" s="645"/>
      <c r="B11" s="645"/>
      <c r="C11" s="645"/>
      <c r="D11" s="645"/>
    </row>
    <row r="12" spans="1:4" s="388" customFormat="1" ht="23.25" customHeight="1" thickBot="1">
      <c r="A12" s="386" t="s">
        <v>2522</v>
      </c>
      <c r="B12" s="387" t="s">
        <v>779</v>
      </c>
      <c r="C12" s="398" t="s">
        <v>336</v>
      </c>
      <c r="D12" s="143" t="s">
        <v>337</v>
      </c>
    </row>
    <row r="13" spans="1:4" ht="13.5" thickBot="1">
      <c r="A13" s="304">
        <v>1</v>
      </c>
      <c r="B13" s="303">
        <v>2</v>
      </c>
      <c r="C13" s="567">
        <v>4</v>
      </c>
      <c r="D13" s="305">
        <v>5</v>
      </c>
    </row>
    <row r="14" spans="1:4" ht="18.75" customHeight="1" thickBot="1">
      <c r="A14" s="902" t="s">
        <v>703</v>
      </c>
      <c r="B14" s="903"/>
      <c r="C14" s="903"/>
      <c r="D14" s="904"/>
    </row>
    <row r="15" spans="1:4" ht="16.5" customHeight="1" thickBot="1">
      <c r="A15" s="905" t="s">
        <v>704</v>
      </c>
      <c r="B15" s="906"/>
      <c r="C15" s="906"/>
      <c r="D15" s="907"/>
    </row>
    <row r="16" spans="1:4" s="111" customFormat="1" ht="26.25" customHeight="1" thickBot="1">
      <c r="A16" s="568" t="s">
        <v>2401</v>
      </c>
      <c r="B16" s="908" t="s">
        <v>705</v>
      </c>
      <c r="C16" s="909"/>
      <c r="D16" s="910"/>
    </row>
    <row r="17" spans="1:4" ht="12.75">
      <c r="A17" s="156" t="s">
        <v>1162</v>
      </c>
      <c r="B17" s="146" t="s">
        <v>338</v>
      </c>
      <c r="C17" s="585">
        <f>87.6*1.1*1.1</f>
        <v>105.99600000000001</v>
      </c>
      <c r="D17" s="147">
        <f>C17*1.18</f>
        <v>125.07528</v>
      </c>
    </row>
    <row r="18" spans="1:4" ht="12.75">
      <c r="A18" s="157" t="s">
        <v>1163</v>
      </c>
      <c r="B18" s="148" t="s">
        <v>339</v>
      </c>
      <c r="C18" s="586">
        <f>35.04*1.1*1.1</f>
        <v>42.39840000000001</v>
      </c>
      <c r="D18" s="149">
        <f aca="true" t="shared" si="0" ref="D18:D53">C18*1.18</f>
        <v>50.03011200000001</v>
      </c>
    </row>
    <row r="19" spans="1:4" ht="12.75">
      <c r="A19" s="157" t="s">
        <v>1164</v>
      </c>
      <c r="B19" s="148" t="s">
        <v>1546</v>
      </c>
      <c r="C19" s="586">
        <f>35.04*1.1*1.1</f>
        <v>42.39840000000001</v>
      </c>
      <c r="D19" s="149">
        <f t="shared" si="0"/>
        <v>50.03011200000001</v>
      </c>
    </row>
    <row r="20" spans="1:4" ht="12.75">
      <c r="A20" s="157" t="s">
        <v>1165</v>
      </c>
      <c r="B20" s="148" t="s">
        <v>1547</v>
      </c>
      <c r="C20" s="586">
        <f>87.6*1.1*1.1</f>
        <v>105.99600000000001</v>
      </c>
      <c r="D20" s="149">
        <f t="shared" si="0"/>
        <v>125.07528</v>
      </c>
    </row>
    <row r="21" spans="1:4" ht="12.75">
      <c r="A21" s="157" t="s">
        <v>1166</v>
      </c>
      <c r="B21" s="148" t="s">
        <v>1548</v>
      </c>
      <c r="C21" s="586">
        <f>152.9*1.1*1.1</f>
        <v>185.00900000000004</v>
      </c>
      <c r="D21" s="149">
        <f t="shared" si="0"/>
        <v>218.31062000000003</v>
      </c>
    </row>
    <row r="22" spans="1:4" ht="12.75">
      <c r="A22" s="157" t="s">
        <v>1167</v>
      </c>
      <c r="B22" s="148" t="s">
        <v>762</v>
      </c>
      <c r="C22" s="586">
        <f>1226.39*1.1*1.1</f>
        <v>1483.9319000000003</v>
      </c>
      <c r="D22" s="149">
        <f t="shared" si="0"/>
        <v>1751.0396420000002</v>
      </c>
    </row>
    <row r="23" spans="1:4" s="751" customFormat="1" ht="12.75">
      <c r="A23" s="365" t="s">
        <v>1168</v>
      </c>
      <c r="B23" s="367" t="s">
        <v>763</v>
      </c>
      <c r="C23" s="588">
        <f>1401.58*1.1*1.1</f>
        <v>1695.9118000000003</v>
      </c>
      <c r="D23" s="366">
        <f t="shared" si="0"/>
        <v>2001.1759240000004</v>
      </c>
    </row>
    <row r="24" spans="1:4" s="751" customFormat="1" ht="12.75">
      <c r="A24" s="365" t="s">
        <v>1169</v>
      </c>
      <c r="B24" s="367" t="s">
        <v>764</v>
      </c>
      <c r="C24" s="588">
        <f>1114.9*1.1*1.1</f>
        <v>1349.0290000000002</v>
      </c>
      <c r="D24" s="366">
        <f t="shared" si="0"/>
        <v>1591.8542200000002</v>
      </c>
    </row>
    <row r="25" spans="1:4" s="751" customFormat="1" ht="25.5">
      <c r="A25" s="365" t="s">
        <v>1170</v>
      </c>
      <c r="B25" s="367" t="s">
        <v>626</v>
      </c>
      <c r="C25" s="588">
        <f>788.39*1.1*1.1</f>
        <v>953.9519000000001</v>
      </c>
      <c r="D25" s="366">
        <f t="shared" si="0"/>
        <v>1125.663242</v>
      </c>
    </row>
    <row r="26" spans="1:4" s="751" customFormat="1" ht="25.5">
      <c r="A26" s="365" t="s">
        <v>1171</v>
      </c>
      <c r="B26" s="367" t="s">
        <v>627</v>
      </c>
      <c r="C26" s="588">
        <f>1529*1.1*1.1</f>
        <v>1850.0900000000001</v>
      </c>
      <c r="D26" s="366">
        <f t="shared" si="0"/>
        <v>2183.1062</v>
      </c>
    </row>
    <row r="27" spans="1:4" s="751" customFormat="1" ht="12.75">
      <c r="A27" s="365" t="s">
        <v>1172</v>
      </c>
      <c r="B27" s="367" t="s">
        <v>765</v>
      </c>
      <c r="C27" s="588">
        <f>955.63*1.1*1.1</f>
        <v>1156.3123</v>
      </c>
      <c r="D27" s="366">
        <f t="shared" si="0"/>
        <v>1364.448514</v>
      </c>
    </row>
    <row r="28" spans="1:4" s="751" customFormat="1" ht="12.75">
      <c r="A28" s="365" t="s">
        <v>1173</v>
      </c>
      <c r="B28" s="367" t="s">
        <v>766</v>
      </c>
      <c r="C28" s="588">
        <f>700.79*1.1*1.1</f>
        <v>847.9559000000002</v>
      </c>
      <c r="D28" s="366">
        <f t="shared" si="0"/>
        <v>1000.5879620000002</v>
      </c>
    </row>
    <row r="29" spans="1:4" s="751" customFormat="1" ht="12.75">
      <c r="A29" s="365" t="s">
        <v>1174</v>
      </c>
      <c r="B29" s="367" t="s">
        <v>708</v>
      </c>
      <c r="C29" s="588">
        <f>998.63*1.1*1.1</f>
        <v>1208.3423000000003</v>
      </c>
      <c r="D29" s="366">
        <f t="shared" si="0"/>
        <v>1425.8439140000003</v>
      </c>
    </row>
    <row r="30" spans="1:4" s="751" customFormat="1" ht="12.75">
      <c r="A30" s="365" t="s">
        <v>1175</v>
      </c>
      <c r="B30" s="367" t="s">
        <v>628</v>
      </c>
      <c r="C30" s="588">
        <f>700.79*1.1*1.1</f>
        <v>847.9559000000002</v>
      </c>
      <c r="D30" s="366">
        <f t="shared" si="0"/>
        <v>1000.5879620000002</v>
      </c>
    </row>
    <row r="31" spans="1:4" s="751" customFormat="1" ht="12.75">
      <c r="A31" s="365" t="s">
        <v>1176</v>
      </c>
      <c r="B31" s="367" t="s">
        <v>629</v>
      </c>
      <c r="C31" s="588">
        <f>700.79*1.1*1.1</f>
        <v>847.9559000000002</v>
      </c>
      <c r="D31" s="366">
        <f t="shared" si="0"/>
        <v>1000.5879620000002</v>
      </c>
    </row>
    <row r="32" spans="1:4" s="751" customFormat="1" ht="12.75">
      <c r="A32" s="365" t="s">
        <v>1177</v>
      </c>
      <c r="B32" s="367" t="s">
        <v>709</v>
      </c>
      <c r="C32" s="588">
        <f>998.63*1.1*1.1</f>
        <v>1208.3423000000003</v>
      </c>
      <c r="D32" s="366">
        <f t="shared" si="0"/>
        <v>1425.8439140000003</v>
      </c>
    </row>
    <row r="33" spans="1:4" ht="12.75">
      <c r="A33" s="157" t="s">
        <v>1178</v>
      </c>
      <c r="B33" s="148" t="s">
        <v>840</v>
      </c>
      <c r="C33" s="586">
        <f>915.81*1.1*1.1</f>
        <v>1108.1301</v>
      </c>
      <c r="D33" s="149">
        <f t="shared" si="0"/>
        <v>1307.5935180000001</v>
      </c>
    </row>
    <row r="34" spans="1:4" ht="12.75">
      <c r="A34" s="157" t="s">
        <v>1179</v>
      </c>
      <c r="B34" s="148" t="s">
        <v>841</v>
      </c>
      <c r="C34" s="586">
        <f>1401.58*1.1*1.1</f>
        <v>1695.9118000000003</v>
      </c>
      <c r="D34" s="149">
        <f t="shared" si="0"/>
        <v>2001.1759240000004</v>
      </c>
    </row>
    <row r="35" spans="1:4" ht="12.75">
      <c r="A35" s="157" t="s">
        <v>1180</v>
      </c>
      <c r="B35" s="148" t="s">
        <v>1633</v>
      </c>
      <c r="C35" s="586">
        <f>3048.45*1.1*1.1</f>
        <v>3688.6245000000004</v>
      </c>
      <c r="D35" s="149">
        <f t="shared" si="0"/>
        <v>4352.57691</v>
      </c>
    </row>
    <row r="36" spans="1:4" ht="12.75">
      <c r="A36" s="157" t="s">
        <v>1181</v>
      </c>
      <c r="B36" s="148" t="s">
        <v>1047</v>
      </c>
      <c r="C36" s="586">
        <f>911.03*1.1*1.1</f>
        <v>1102.3463000000002</v>
      </c>
      <c r="D36" s="149">
        <f t="shared" si="0"/>
        <v>1300.768634</v>
      </c>
    </row>
    <row r="37" spans="1:4" ht="12.75">
      <c r="A37" s="157" t="s">
        <v>1182</v>
      </c>
      <c r="B37" s="148" t="s">
        <v>1634</v>
      </c>
      <c r="C37" s="586">
        <f>1465.29*1.1*1.1</f>
        <v>1773.0009000000005</v>
      </c>
      <c r="D37" s="149">
        <f>C37*1.18</f>
        <v>2092.1410620000006</v>
      </c>
    </row>
    <row r="38" spans="1:4" ht="12.75">
      <c r="A38" s="157" t="s">
        <v>1183</v>
      </c>
      <c r="B38" s="148" t="s">
        <v>1635</v>
      </c>
      <c r="C38" s="586">
        <f>915.81*1.1*1.1</f>
        <v>1108.1301</v>
      </c>
      <c r="D38" s="149">
        <f t="shared" si="0"/>
        <v>1307.5935180000001</v>
      </c>
    </row>
    <row r="39" spans="1:4" ht="12.75">
      <c r="A39" s="157" t="s">
        <v>1184</v>
      </c>
      <c r="B39" s="150" t="s">
        <v>625</v>
      </c>
      <c r="C39" s="586">
        <f>2487.81*1.1*1.1</f>
        <v>3010.2501000000007</v>
      </c>
      <c r="D39" s="149">
        <f t="shared" si="0"/>
        <v>3552.0951180000006</v>
      </c>
    </row>
    <row r="40" spans="1:4" s="364" customFormat="1" ht="12.75">
      <c r="A40" s="188" t="s">
        <v>1185</v>
      </c>
      <c r="B40" s="193" t="s">
        <v>710</v>
      </c>
      <c r="C40" s="586">
        <f>963.59*1.1*1.1</f>
        <v>1165.9439000000002</v>
      </c>
      <c r="D40" s="366">
        <f t="shared" si="0"/>
        <v>1375.8138020000001</v>
      </c>
    </row>
    <row r="41" spans="1:4" ht="12.75">
      <c r="A41" s="157" t="s">
        <v>1186</v>
      </c>
      <c r="B41" s="148" t="s">
        <v>2375</v>
      </c>
      <c r="C41" s="586">
        <f>280.32*1.1*1.1</f>
        <v>339.1872000000001</v>
      </c>
      <c r="D41" s="149">
        <f t="shared" si="0"/>
        <v>400.2408960000001</v>
      </c>
    </row>
    <row r="42" spans="1:4" ht="12.75">
      <c r="A42" s="157" t="s">
        <v>1187</v>
      </c>
      <c r="B42" s="148" t="s">
        <v>2376</v>
      </c>
      <c r="C42" s="586">
        <f>764.5*1.1*1.1</f>
        <v>925.0450000000001</v>
      </c>
      <c r="D42" s="149">
        <f t="shared" si="0"/>
        <v>1091.5531</v>
      </c>
    </row>
    <row r="43" spans="1:4" ht="12.75">
      <c r="A43" s="157" t="s">
        <v>1188</v>
      </c>
      <c r="B43" s="148" t="s">
        <v>631</v>
      </c>
      <c r="C43" s="586">
        <f>1007.39*1.1*1.1</f>
        <v>1218.9419000000003</v>
      </c>
      <c r="D43" s="149">
        <f t="shared" si="0"/>
        <v>1438.3514420000001</v>
      </c>
    </row>
    <row r="44" spans="1:4" ht="12.75">
      <c r="A44" s="157" t="s">
        <v>1189</v>
      </c>
      <c r="B44" s="150" t="s">
        <v>632</v>
      </c>
      <c r="C44" s="586">
        <f>1007.39*1.1*1.1</f>
        <v>1218.9419000000003</v>
      </c>
      <c r="D44" s="149">
        <f t="shared" si="0"/>
        <v>1438.3514420000001</v>
      </c>
    </row>
    <row r="45" spans="1:4" ht="12.75">
      <c r="A45" s="157" t="s">
        <v>1190</v>
      </c>
      <c r="B45" s="150" t="s">
        <v>634</v>
      </c>
      <c r="C45" s="586">
        <f>915.81*1.1*1.1</f>
        <v>1108.1301</v>
      </c>
      <c r="D45" s="149">
        <f t="shared" si="0"/>
        <v>1307.5935180000001</v>
      </c>
    </row>
    <row r="46" spans="1:4" ht="12.75">
      <c r="A46" s="157" t="s">
        <v>1191</v>
      </c>
      <c r="B46" s="150" t="s">
        <v>633</v>
      </c>
      <c r="C46" s="586">
        <f>1025.71*1.1*1.1</f>
        <v>1241.1091000000004</v>
      </c>
      <c r="D46" s="149">
        <f t="shared" si="0"/>
        <v>1464.5087380000004</v>
      </c>
    </row>
    <row r="47" spans="1:4" ht="12.75">
      <c r="A47" s="158" t="s">
        <v>1192</v>
      </c>
      <c r="B47" s="150" t="s">
        <v>635</v>
      </c>
      <c r="C47" s="586">
        <f>915.81*1.1*1.1</f>
        <v>1108.1301</v>
      </c>
      <c r="D47" s="149">
        <f t="shared" si="0"/>
        <v>1307.5935180000001</v>
      </c>
    </row>
    <row r="48" spans="1:4" ht="12.75">
      <c r="A48" s="158" t="s">
        <v>1193</v>
      </c>
      <c r="B48" s="569" t="s">
        <v>636</v>
      </c>
      <c r="C48" s="586">
        <f>366.32*1.1*1.1</f>
        <v>443.2472</v>
      </c>
      <c r="D48" s="149">
        <f t="shared" si="0"/>
        <v>523.031696</v>
      </c>
    </row>
    <row r="49" spans="1:4" ht="12.75">
      <c r="A49" s="177" t="s">
        <v>1194</v>
      </c>
      <c r="B49" s="569" t="s">
        <v>2632</v>
      </c>
      <c r="C49" s="586">
        <f>1465.29*1.1*1.1</f>
        <v>1773.0009000000005</v>
      </c>
      <c r="D49" s="149">
        <f t="shared" si="0"/>
        <v>2092.1410620000006</v>
      </c>
    </row>
    <row r="50" spans="1:4" ht="12.75">
      <c r="A50" s="168" t="s">
        <v>2627</v>
      </c>
      <c r="B50" s="570" t="s">
        <v>2633</v>
      </c>
      <c r="C50" s="586">
        <f>1529*1.1*1.1</f>
        <v>1850.0900000000001</v>
      </c>
      <c r="D50" s="149">
        <f t="shared" si="0"/>
        <v>2183.1062</v>
      </c>
    </row>
    <row r="51" spans="1:4" ht="12.75">
      <c r="A51" s="168" t="s">
        <v>2628</v>
      </c>
      <c r="B51" s="570" t="s">
        <v>2634</v>
      </c>
      <c r="C51" s="586">
        <f>1529*1.1*1.1</f>
        <v>1850.0900000000001</v>
      </c>
      <c r="D51" s="149">
        <f t="shared" si="0"/>
        <v>2183.1062</v>
      </c>
    </row>
    <row r="52" spans="1:4" ht="12.75">
      <c r="A52" s="168" t="s">
        <v>2629</v>
      </c>
      <c r="B52" s="570" t="s">
        <v>2635</v>
      </c>
      <c r="C52" s="586">
        <f>1051.19*1.1*1.1</f>
        <v>1271.9399000000003</v>
      </c>
      <c r="D52" s="149">
        <f t="shared" si="0"/>
        <v>1500.8890820000004</v>
      </c>
    </row>
    <row r="53" spans="1:4" ht="12.75">
      <c r="A53" s="168" t="s">
        <v>2630</v>
      </c>
      <c r="B53" s="570" t="s">
        <v>2636</v>
      </c>
      <c r="C53" s="586">
        <f>1051.19*1.1*1.1</f>
        <v>1271.9399000000003</v>
      </c>
      <c r="D53" s="149">
        <f t="shared" si="0"/>
        <v>1500.8890820000004</v>
      </c>
    </row>
    <row r="54" spans="1:4" ht="12.75">
      <c r="A54" s="168" t="s">
        <v>2631</v>
      </c>
      <c r="B54" s="570" t="s">
        <v>2637</v>
      </c>
      <c r="C54" s="586">
        <f>1529*1.1*1.1</f>
        <v>1850.0900000000001</v>
      </c>
      <c r="D54" s="149">
        <f>C54*1.18</f>
        <v>2183.1062</v>
      </c>
    </row>
    <row r="55" spans="1:4" s="364" customFormat="1" ht="13.5" thickBot="1">
      <c r="A55" s="648" t="s">
        <v>3287</v>
      </c>
      <c r="B55" s="649" t="s">
        <v>3288</v>
      </c>
      <c r="C55" s="587">
        <f>191*3*1.1*1.1</f>
        <v>693.3300000000002</v>
      </c>
      <c r="D55" s="650">
        <f>C55*1.18</f>
        <v>818.1294000000001</v>
      </c>
    </row>
    <row r="56" spans="1:4" s="111" customFormat="1" ht="12.75" customHeight="1" thickBot="1">
      <c r="A56" s="155" t="s">
        <v>2569</v>
      </c>
      <c r="B56" s="911" t="s">
        <v>639</v>
      </c>
      <c r="C56" s="912"/>
      <c r="D56" s="913"/>
    </row>
    <row r="57" spans="1:4" ht="12.75">
      <c r="A57" s="574" t="s">
        <v>1195</v>
      </c>
      <c r="B57" s="146" t="s">
        <v>2275</v>
      </c>
      <c r="C57" s="585">
        <f>258.82*1.1*1.1</f>
        <v>313.17220000000003</v>
      </c>
      <c r="D57" s="147">
        <f aca="true" t="shared" si="1" ref="D57:D79">C57*1.18</f>
        <v>369.543196</v>
      </c>
    </row>
    <row r="58" spans="1:4" ht="12.75">
      <c r="A58" s="272" t="s">
        <v>1196</v>
      </c>
      <c r="B58" s="148" t="s">
        <v>1636</v>
      </c>
      <c r="C58" s="586">
        <f>199.09*1.1*1.1</f>
        <v>240.89890000000005</v>
      </c>
      <c r="D58" s="149">
        <f t="shared" si="1"/>
        <v>284.26070200000004</v>
      </c>
    </row>
    <row r="59" spans="1:4" ht="12.75">
      <c r="A59" s="317" t="s">
        <v>1197</v>
      </c>
      <c r="B59" s="148" t="s">
        <v>1637</v>
      </c>
      <c r="C59" s="586">
        <f>338.45*1.1*1.1</f>
        <v>409.52450000000005</v>
      </c>
      <c r="D59" s="149">
        <f t="shared" si="1"/>
        <v>483.23891000000003</v>
      </c>
    </row>
    <row r="60" spans="1:4" ht="12.75">
      <c r="A60" s="272" t="s">
        <v>1198</v>
      </c>
      <c r="B60" s="148" t="s">
        <v>1638</v>
      </c>
      <c r="C60" s="586">
        <f>438*1.1*1.1</f>
        <v>529.98</v>
      </c>
      <c r="D60" s="149">
        <f t="shared" si="1"/>
        <v>625.3764</v>
      </c>
    </row>
    <row r="61" spans="1:4" s="364" customFormat="1" ht="12.75">
      <c r="A61" s="764" t="s">
        <v>1199</v>
      </c>
      <c r="B61" s="367" t="s">
        <v>3289</v>
      </c>
      <c r="C61" s="588">
        <f>191*5*1.1*1.1</f>
        <v>1155.5500000000002</v>
      </c>
      <c r="D61" s="366">
        <f t="shared" si="1"/>
        <v>1363.5490000000002</v>
      </c>
    </row>
    <row r="62" spans="1:4" ht="12.75">
      <c r="A62" s="272" t="s">
        <v>1200</v>
      </c>
      <c r="B62" s="148" t="s">
        <v>1639</v>
      </c>
      <c r="C62" s="586">
        <f>358.36*1.1*1.1</f>
        <v>433.6156000000001</v>
      </c>
      <c r="D62" s="149">
        <f t="shared" si="1"/>
        <v>511.66640800000005</v>
      </c>
    </row>
    <row r="63" spans="1:4" ht="12.75">
      <c r="A63" s="317" t="s">
        <v>1201</v>
      </c>
      <c r="B63" s="148" t="s">
        <v>1640</v>
      </c>
      <c r="C63" s="586">
        <f>418.09*1.1*1.1</f>
        <v>505.88890000000004</v>
      </c>
      <c r="D63" s="149">
        <f t="shared" si="1"/>
        <v>596.948902</v>
      </c>
    </row>
    <row r="64" spans="1:4" ht="12.75">
      <c r="A64" s="272" t="s">
        <v>1202</v>
      </c>
      <c r="B64" s="148" t="s">
        <v>3290</v>
      </c>
      <c r="C64" s="586">
        <f>79.64*1.1*1.1</f>
        <v>96.36440000000002</v>
      </c>
      <c r="D64" s="149">
        <f t="shared" si="1"/>
        <v>113.70999200000001</v>
      </c>
    </row>
    <row r="65" spans="1:4" ht="12.75">
      <c r="A65" s="317" t="s">
        <v>1203</v>
      </c>
      <c r="B65" s="148" t="s">
        <v>1642</v>
      </c>
      <c r="C65" s="586">
        <f aca="true" t="shared" si="2" ref="C65:C71">199.09*1.1*1.1</f>
        <v>240.89890000000005</v>
      </c>
      <c r="D65" s="149">
        <f t="shared" si="1"/>
        <v>284.26070200000004</v>
      </c>
    </row>
    <row r="66" spans="1:4" ht="12.75">
      <c r="A66" s="272" t="s">
        <v>1204</v>
      </c>
      <c r="B66" s="148" t="s">
        <v>1643</v>
      </c>
      <c r="C66" s="586">
        <f t="shared" si="2"/>
        <v>240.89890000000005</v>
      </c>
      <c r="D66" s="149">
        <f t="shared" si="1"/>
        <v>284.26070200000004</v>
      </c>
    </row>
    <row r="67" spans="1:4" ht="12.75">
      <c r="A67" s="317" t="s">
        <v>1205</v>
      </c>
      <c r="B67" s="148" t="s">
        <v>560</v>
      </c>
      <c r="C67" s="586">
        <f t="shared" si="2"/>
        <v>240.89890000000005</v>
      </c>
      <c r="D67" s="149">
        <f t="shared" si="1"/>
        <v>284.26070200000004</v>
      </c>
    </row>
    <row r="68" spans="1:4" ht="12.75">
      <c r="A68" s="272" t="s">
        <v>1206</v>
      </c>
      <c r="B68" s="148" t="s">
        <v>561</v>
      </c>
      <c r="C68" s="586">
        <f t="shared" si="2"/>
        <v>240.89890000000005</v>
      </c>
      <c r="D68" s="149">
        <f t="shared" si="1"/>
        <v>284.26070200000004</v>
      </c>
    </row>
    <row r="69" spans="1:4" ht="12.75">
      <c r="A69" s="317" t="s">
        <v>1207</v>
      </c>
      <c r="B69" s="148" t="s">
        <v>562</v>
      </c>
      <c r="C69" s="586">
        <f t="shared" si="2"/>
        <v>240.89890000000005</v>
      </c>
      <c r="D69" s="149">
        <f t="shared" si="1"/>
        <v>284.26070200000004</v>
      </c>
    </row>
    <row r="70" spans="1:4" ht="12.75">
      <c r="A70" s="272" t="s">
        <v>1208</v>
      </c>
      <c r="B70" s="148" t="s">
        <v>1082</v>
      </c>
      <c r="C70" s="586">
        <f t="shared" si="2"/>
        <v>240.89890000000005</v>
      </c>
      <c r="D70" s="149">
        <f t="shared" si="1"/>
        <v>284.26070200000004</v>
      </c>
    </row>
    <row r="71" spans="1:4" ht="12.75">
      <c r="A71" s="317" t="s">
        <v>1209</v>
      </c>
      <c r="B71" s="148" t="s">
        <v>823</v>
      </c>
      <c r="C71" s="586">
        <f t="shared" si="2"/>
        <v>240.89890000000005</v>
      </c>
      <c r="D71" s="149">
        <f t="shared" si="1"/>
        <v>284.26070200000004</v>
      </c>
    </row>
    <row r="72" spans="1:4" ht="12.75">
      <c r="A72" s="765" t="s">
        <v>1210</v>
      </c>
      <c r="B72" s="160" t="s">
        <v>824</v>
      </c>
      <c r="C72" s="589">
        <f>756.54*1.1*1.1</f>
        <v>915.4134000000001</v>
      </c>
      <c r="D72" s="161">
        <f t="shared" si="1"/>
        <v>1080.1878120000001</v>
      </c>
    </row>
    <row r="73" spans="1:4" ht="12.75">
      <c r="A73" s="571" t="s">
        <v>1211</v>
      </c>
      <c r="B73" s="148" t="s">
        <v>825</v>
      </c>
      <c r="C73" s="586">
        <f>497.72*1.1*1.1</f>
        <v>602.2412000000002</v>
      </c>
      <c r="D73" s="149">
        <f t="shared" si="1"/>
        <v>710.6446160000002</v>
      </c>
    </row>
    <row r="74" spans="1:4" ht="12.75">
      <c r="A74" s="571" t="s">
        <v>1212</v>
      </c>
      <c r="B74" s="148" t="s">
        <v>826</v>
      </c>
      <c r="C74" s="586">
        <f>398.18*1.1*1.1</f>
        <v>481.7978000000001</v>
      </c>
      <c r="D74" s="149">
        <f t="shared" si="1"/>
        <v>568.5214040000001</v>
      </c>
    </row>
    <row r="75" spans="1:4" ht="12.75">
      <c r="A75" s="571" t="s">
        <v>1213</v>
      </c>
      <c r="B75" s="148" t="s">
        <v>827</v>
      </c>
      <c r="C75" s="586">
        <f>159.27*1.1*1.1</f>
        <v>192.71670000000006</v>
      </c>
      <c r="D75" s="149">
        <f t="shared" si="1"/>
        <v>227.40570600000007</v>
      </c>
    </row>
    <row r="76" spans="1:4" ht="12.75">
      <c r="A76" s="571" t="s">
        <v>1214</v>
      </c>
      <c r="B76" s="148" t="s">
        <v>2273</v>
      </c>
      <c r="C76" s="586">
        <f>1356.03*1.1*1.1</f>
        <v>1640.7963000000002</v>
      </c>
      <c r="D76" s="149">
        <f t="shared" si="1"/>
        <v>1936.1396340000001</v>
      </c>
    </row>
    <row r="77" spans="1:4" ht="12.75">
      <c r="A77" s="571" t="s">
        <v>1215</v>
      </c>
      <c r="B77" s="148" t="s">
        <v>637</v>
      </c>
      <c r="C77" s="586">
        <f>258.82*1.1*1.1</f>
        <v>313.17220000000003</v>
      </c>
      <c r="D77" s="149">
        <f t="shared" si="1"/>
        <v>369.543196</v>
      </c>
    </row>
    <row r="78" spans="1:4" ht="12.75">
      <c r="A78" s="571" t="s">
        <v>1216</v>
      </c>
      <c r="B78" s="148" t="s">
        <v>638</v>
      </c>
      <c r="C78" s="586">
        <f>338.45*1.1*1.1</f>
        <v>409.52450000000005</v>
      </c>
      <c r="D78" s="149">
        <f t="shared" si="1"/>
        <v>483.23891000000003</v>
      </c>
    </row>
    <row r="79" spans="1:4" s="93" customFormat="1" ht="12.75">
      <c r="A79" s="571" t="s">
        <v>1217</v>
      </c>
      <c r="B79" s="656" t="s">
        <v>1557</v>
      </c>
      <c r="C79" s="586">
        <f>99.54*1.1*1.1</f>
        <v>120.44340000000003</v>
      </c>
      <c r="D79" s="149">
        <f t="shared" si="1"/>
        <v>142.12321200000002</v>
      </c>
    </row>
    <row r="80" spans="1:4" s="93" customFormat="1" ht="12.75">
      <c r="A80" s="571" t="s">
        <v>2638</v>
      </c>
      <c r="B80" s="656" t="s">
        <v>2639</v>
      </c>
      <c r="C80" s="586">
        <f>199.09*1.1*1.1</f>
        <v>240.89890000000005</v>
      </c>
      <c r="D80" s="149">
        <f>C80*1.18</f>
        <v>284.26070200000004</v>
      </c>
    </row>
    <row r="81" spans="1:4" s="583" customFormat="1" ht="25.5">
      <c r="A81" s="766" t="s">
        <v>3291</v>
      </c>
      <c r="B81" s="367" t="s">
        <v>3292</v>
      </c>
      <c r="C81" s="590">
        <f>191*2*1.1*1.1</f>
        <v>462.2200000000001</v>
      </c>
      <c r="D81" s="366">
        <f aca="true" t="shared" si="3" ref="D81:D92">C81*1.18</f>
        <v>545.4196000000001</v>
      </c>
    </row>
    <row r="82" spans="1:4" s="583" customFormat="1" ht="12.75">
      <c r="A82" s="766" t="s">
        <v>3293</v>
      </c>
      <c r="B82" s="367" t="s">
        <v>3294</v>
      </c>
      <c r="C82" s="590">
        <f>191*3*1.1*1.1</f>
        <v>693.3300000000002</v>
      </c>
      <c r="D82" s="366">
        <f t="shared" si="3"/>
        <v>818.1294000000001</v>
      </c>
    </row>
    <row r="83" spans="1:4" s="583" customFormat="1" ht="12.75">
      <c r="A83" s="766" t="s">
        <v>3295</v>
      </c>
      <c r="B83" s="367" t="s">
        <v>3296</v>
      </c>
      <c r="C83" s="590">
        <f>191*3.5*1.1*1.1</f>
        <v>808.8850000000001</v>
      </c>
      <c r="D83" s="366">
        <f t="shared" si="3"/>
        <v>954.4843000000001</v>
      </c>
    </row>
    <row r="84" spans="1:4" s="583" customFormat="1" ht="12.75">
      <c r="A84" s="766" t="s">
        <v>3409</v>
      </c>
      <c r="B84" s="367" t="s">
        <v>3298</v>
      </c>
      <c r="C84" s="590">
        <f>191*2*1.1*1.1</f>
        <v>462.2200000000001</v>
      </c>
      <c r="D84" s="366">
        <f t="shared" si="3"/>
        <v>545.4196000000001</v>
      </c>
    </row>
    <row r="85" spans="1:4" s="583" customFormat="1" ht="12.75">
      <c r="A85" s="766" t="s">
        <v>3297</v>
      </c>
      <c r="B85" s="367" t="s">
        <v>3300</v>
      </c>
      <c r="C85" s="590">
        <f>191*2*1.1*1.1</f>
        <v>462.2200000000001</v>
      </c>
      <c r="D85" s="366">
        <f t="shared" si="3"/>
        <v>545.4196000000001</v>
      </c>
    </row>
    <row r="86" spans="1:4" s="583" customFormat="1" ht="12.75">
      <c r="A86" s="766" t="s">
        <v>3299</v>
      </c>
      <c r="B86" s="367" t="s">
        <v>3302</v>
      </c>
      <c r="C86" s="590">
        <f>191*3.5*1.1*1.1</f>
        <v>808.8850000000001</v>
      </c>
      <c r="D86" s="366">
        <f t="shared" si="3"/>
        <v>954.4843000000001</v>
      </c>
    </row>
    <row r="87" spans="1:4" s="583" customFormat="1" ht="12.75">
      <c r="A87" s="766" t="s">
        <v>3301</v>
      </c>
      <c r="B87" s="367" t="s">
        <v>2507</v>
      </c>
      <c r="C87" s="590">
        <f>191*2*1.1*1.1</f>
        <v>462.2200000000001</v>
      </c>
      <c r="D87" s="366">
        <f t="shared" si="3"/>
        <v>545.4196000000001</v>
      </c>
    </row>
    <row r="88" spans="1:4" s="583" customFormat="1" ht="12.75">
      <c r="A88" s="766" t="s">
        <v>3303</v>
      </c>
      <c r="B88" s="367" t="s">
        <v>3305</v>
      </c>
      <c r="C88" s="590">
        <f>191*2*1.1*1.1</f>
        <v>462.2200000000001</v>
      </c>
      <c r="D88" s="366">
        <f t="shared" si="3"/>
        <v>545.4196000000001</v>
      </c>
    </row>
    <row r="89" spans="1:4" s="583" customFormat="1" ht="12.75">
      <c r="A89" s="766" t="s">
        <v>3304</v>
      </c>
      <c r="B89" s="367" t="s">
        <v>3307</v>
      </c>
      <c r="C89" s="590">
        <f>191*3*1.1*1.1</f>
        <v>693.3300000000002</v>
      </c>
      <c r="D89" s="366">
        <f t="shared" si="3"/>
        <v>818.1294000000001</v>
      </c>
    </row>
    <row r="90" spans="1:4" s="583" customFormat="1" ht="12.75">
      <c r="A90" s="766" t="s">
        <v>3306</v>
      </c>
      <c r="B90" s="367" t="s">
        <v>3404</v>
      </c>
      <c r="C90" s="590">
        <f>191*2.5*1.1*1.1</f>
        <v>577.7750000000001</v>
      </c>
      <c r="D90" s="366">
        <f t="shared" si="3"/>
        <v>681.7745000000001</v>
      </c>
    </row>
    <row r="91" spans="1:4" s="111" customFormat="1" ht="13.5" customHeight="1" thickBot="1">
      <c r="A91" s="767" t="s">
        <v>1131</v>
      </c>
      <c r="B91" s="914" t="s">
        <v>1159</v>
      </c>
      <c r="C91" s="915"/>
      <c r="D91" s="916"/>
    </row>
    <row r="92" spans="1:4" s="364" customFormat="1" ht="12.75">
      <c r="A92" s="675" t="s">
        <v>1218</v>
      </c>
      <c r="B92" s="776" t="s">
        <v>3308</v>
      </c>
      <c r="C92" s="662">
        <f>191*0.25*1.1*1.1</f>
        <v>57.77750000000001</v>
      </c>
      <c r="D92" s="597">
        <f t="shared" si="3"/>
        <v>68.17745000000001</v>
      </c>
    </row>
    <row r="93" spans="1:4" ht="12.75">
      <c r="A93" s="272" t="s">
        <v>1219</v>
      </c>
      <c r="B93" s="148" t="s">
        <v>2274</v>
      </c>
      <c r="C93" s="586">
        <f>199.09*1.1*1.1</f>
        <v>240.89890000000005</v>
      </c>
      <c r="D93" s="149">
        <f aca="true" t="shared" si="4" ref="D93:D100">C93*1.18</f>
        <v>284.26070200000004</v>
      </c>
    </row>
    <row r="94" spans="1:4" ht="12.75">
      <c r="A94" s="272" t="s">
        <v>1220</v>
      </c>
      <c r="B94" s="148" t="s">
        <v>2275</v>
      </c>
      <c r="C94" s="586">
        <f>258.82*1.1*1.1</f>
        <v>313.17220000000003</v>
      </c>
      <c r="D94" s="149">
        <f t="shared" si="4"/>
        <v>369.543196</v>
      </c>
    </row>
    <row r="95" spans="1:4" ht="12.75">
      <c r="A95" s="272" t="s">
        <v>1221</v>
      </c>
      <c r="B95" s="148" t="s">
        <v>1082</v>
      </c>
      <c r="C95" s="586">
        <f>199.09*1.1*1.1</f>
        <v>240.89890000000005</v>
      </c>
      <c r="D95" s="149">
        <f t="shared" si="4"/>
        <v>284.26070200000004</v>
      </c>
    </row>
    <row r="96" spans="1:4" ht="12.75">
      <c r="A96" s="272" t="s">
        <v>1222</v>
      </c>
      <c r="B96" s="148" t="s">
        <v>1083</v>
      </c>
      <c r="C96" s="586">
        <f>796.35*1.1*1.1</f>
        <v>963.5835000000002</v>
      </c>
      <c r="D96" s="149">
        <f t="shared" si="4"/>
        <v>1137.02853</v>
      </c>
    </row>
    <row r="97" spans="1:4" ht="12.75">
      <c r="A97" s="656" t="s">
        <v>1223</v>
      </c>
      <c r="B97" s="323" t="s">
        <v>1084</v>
      </c>
      <c r="C97" s="586">
        <f>995.44*1.1*1.1</f>
        <v>1204.4824000000003</v>
      </c>
      <c r="D97" s="149">
        <f t="shared" si="4"/>
        <v>1421.2892320000003</v>
      </c>
    </row>
    <row r="98" spans="1:4" ht="12.75">
      <c r="A98" s="656" t="s">
        <v>1224</v>
      </c>
      <c r="B98" s="323" t="s">
        <v>1085</v>
      </c>
      <c r="C98" s="586">
        <f>298.63*1.1*1.1</f>
        <v>361.3423</v>
      </c>
      <c r="D98" s="149">
        <f t="shared" si="4"/>
        <v>426.383914</v>
      </c>
    </row>
    <row r="99" spans="1:4" s="364" customFormat="1" ht="12.75">
      <c r="A99" s="663" t="s">
        <v>1225</v>
      </c>
      <c r="B99" s="362" t="s">
        <v>1688</v>
      </c>
      <c r="C99" s="588">
        <f>191*0.25*1.1*1.1</f>
        <v>57.77750000000001</v>
      </c>
      <c r="D99" s="366">
        <f t="shared" si="4"/>
        <v>68.17745000000001</v>
      </c>
    </row>
    <row r="100" spans="1:4" s="364" customFormat="1" ht="12.75">
      <c r="A100" s="655" t="s">
        <v>1226</v>
      </c>
      <c r="B100" s="362" t="s">
        <v>1042</v>
      </c>
      <c r="C100" s="588">
        <f>199.09*1.1*1.1</f>
        <v>240.89890000000005</v>
      </c>
      <c r="D100" s="366">
        <f t="shared" si="4"/>
        <v>284.26070200000004</v>
      </c>
    </row>
    <row r="101" spans="1:4" s="364" customFormat="1" ht="14.25" customHeight="1">
      <c r="A101" s="663" t="s">
        <v>1227</v>
      </c>
      <c r="B101" s="362" t="s">
        <v>3309</v>
      </c>
      <c r="C101" s="588">
        <f>191*3.5*1.1*1.1</f>
        <v>808.8850000000001</v>
      </c>
      <c r="D101" s="366">
        <f>C101*1.18</f>
        <v>954.4843000000001</v>
      </c>
    </row>
    <row r="102" spans="1:4" ht="12.75">
      <c r="A102" s="656" t="s">
        <v>1228</v>
      </c>
      <c r="B102" s="323" t="s">
        <v>1043</v>
      </c>
      <c r="C102" s="586">
        <f>199.09*1.1*1.1</f>
        <v>240.89890000000005</v>
      </c>
      <c r="D102" s="149">
        <f aca="true" t="shared" si="5" ref="D102:D114">C102*1.18</f>
        <v>284.26070200000004</v>
      </c>
    </row>
    <row r="103" spans="1:4" ht="12.75">
      <c r="A103" s="656" t="s">
        <v>1229</v>
      </c>
      <c r="B103" s="323" t="s">
        <v>561</v>
      </c>
      <c r="C103" s="586">
        <f>99.54*1.1*1.1</f>
        <v>120.44340000000003</v>
      </c>
      <c r="D103" s="149">
        <f t="shared" si="5"/>
        <v>142.12321200000002</v>
      </c>
    </row>
    <row r="104" spans="1:4" ht="12.75">
      <c r="A104" s="657" t="s">
        <v>3310</v>
      </c>
      <c r="B104" s="323" t="s">
        <v>615</v>
      </c>
      <c r="C104" s="586">
        <f>398.18*1.1*1.1</f>
        <v>481.7978000000001</v>
      </c>
      <c r="D104" s="149">
        <f t="shared" si="5"/>
        <v>568.5214040000001</v>
      </c>
    </row>
    <row r="105" spans="1:4" ht="12.75">
      <c r="A105" s="656" t="s">
        <v>1230</v>
      </c>
      <c r="B105" s="323" t="s">
        <v>1044</v>
      </c>
      <c r="C105" s="586">
        <f>935.72*1.1*1.1</f>
        <v>1132.2212000000002</v>
      </c>
      <c r="D105" s="149">
        <f t="shared" si="5"/>
        <v>1336.0210160000001</v>
      </c>
    </row>
    <row r="106" spans="1:4" ht="12.75">
      <c r="A106" s="656" t="s">
        <v>1231</v>
      </c>
      <c r="B106" s="323" t="s">
        <v>1637</v>
      </c>
      <c r="C106" s="586">
        <f>557.45*1.1*1.1</f>
        <v>674.5145000000001</v>
      </c>
      <c r="D106" s="149">
        <f t="shared" si="5"/>
        <v>795.9271100000001</v>
      </c>
    </row>
    <row r="107" spans="1:4" ht="12.75">
      <c r="A107" s="656" t="s">
        <v>1232</v>
      </c>
      <c r="B107" s="323" t="s">
        <v>1045</v>
      </c>
      <c r="C107" s="586">
        <f>99.54*1.1*1.1</f>
        <v>120.44340000000003</v>
      </c>
      <c r="D107" s="149">
        <f t="shared" si="5"/>
        <v>142.12321200000002</v>
      </c>
    </row>
    <row r="108" spans="1:4" ht="12.75">
      <c r="A108" s="272" t="s">
        <v>1233</v>
      </c>
      <c r="B108" s="148" t="s">
        <v>1046</v>
      </c>
      <c r="C108" s="586">
        <f>497.72*1.1*1.1</f>
        <v>602.2412000000002</v>
      </c>
      <c r="D108" s="149">
        <f t="shared" si="5"/>
        <v>710.6446160000002</v>
      </c>
    </row>
    <row r="109" spans="1:4" ht="12.75">
      <c r="A109" s="272" t="s">
        <v>3405</v>
      </c>
      <c r="B109" s="148" t="s">
        <v>1476</v>
      </c>
      <c r="C109" s="586">
        <f>398.18*1.1*1.1</f>
        <v>481.7978000000001</v>
      </c>
      <c r="D109" s="149">
        <f t="shared" si="5"/>
        <v>568.5214040000001</v>
      </c>
    </row>
    <row r="110" spans="1:4" ht="25.5">
      <c r="A110" s="664" t="s">
        <v>3406</v>
      </c>
      <c r="B110" s="572" t="s">
        <v>1477</v>
      </c>
      <c r="C110" s="586">
        <f>238.91*1.1*1.1</f>
        <v>289.08110000000005</v>
      </c>
      <c r="D110" s="149">
        <f t="shared" si="5"/>
        <v>341.11569800000007</v>
      </c>
    </row>
    <row r="111" spans="1:4" ht="12.75">
      <c r="A111" s="665" t="s">
        <v>3407</v>
      </c>
      <c r="B111" s="160" t="s">
        <v>2273</v>
      </c>
      <c r="C111" s="589">
        <f>1356.03*1.1*1.1</f>
        <v>1640.7963000000002</v>
      </c>
      <c r="D111" s="161">
        <f t="shared" si="5"/>
        <v>1936.1396340000001</v>
      </c>
    </row>
    <row r="112" spans="1:4" ht="13.5" thickBot="1">
      <c r="A112" s="666" t="s">
        <v>3408</v>
      </c>
      <c r="B112" s="667" t="s">
        <v>3403</v>
      </c>
      <c r="C112" s="587">
        <f>1029.29*1.1</f>
        <v>1132.219</v>
      </c>
      <c r="D112" s="152">
        <f>C112*1.18</f>
        <v>1336.0184199999999</v>
      </c>
    </row>
    <row r="113" spans="1:4" s="111" customFormat="1" ht="15.75" customHeight="1" thickBot="1">
      <c r="A113" s="661" t="s">
        <v>1132</v>
      </c>
      <c r="B113" s="906" t="s">
        <v>2399</v>
      </c>
      <c r="C113" s="906"/>
      <c r="D113" s="906"/>
    </row>
    <row r="114" spans="1:4" s="364" customFormat="1" ht="12.75">
      <c r="A114" s="654" t="s">
        <v>1234</v>
      </c>
      <c r="B114" s="668" t="s">
        <v>3311</v>
      </c>
      <c r="C114" s="784">
        <f>191*0.25*1.1*1.1</f>
        <v>57.77750000000001</v>
      </c>
      <c r="D114" s="147">
        <f t="shared" si="5"/>
        <v>68.17745000000001</v>
      </c>
    </row>
    <row r="115" spans="1:4" s="364" customFormat="1" ht="12.75">
      <c r="A115" s="655" t="s">
        <v>1235</v>
      </c>
      <c r="B115" s="362" t="s">
        <v>2274</v>
      </c>
      <c r="C115" s="588">
        <f>191.13*1.1*1.1</f>
        <v>231.26730000000003</v>
      </c>
      <c r="D115" s="366">
        <f>C115*1.18</f>
        <v>272.895414</v>
      </c>
    </row>
    <row r="116" spans="1:4" s="364" customFormat="1" ht="12.75">
      <c r="A116" s="655" t="s">
        <v>1236</v>
      </c>
      <c r="B116" s="362" t="s">
        <v>1082</v>
      </c>
      <c r="C116" s="588">
        <f>191.13*1.1*1.1</f>
        <v>231.26730000000003</v>
      </c>
      <c r="D116" s="366">
        <f aca="true" t="shared" si="6" ref="D116:D134">C116*1.18</f>
        <v>272.895414</v>
      </c>
    </row>
    <row r="117" spans="1:4" s="364" customFormat="1" ht="12.75">
      <c r="A117" s="655" t="s">
        <v>1237</v>
      </c>
      <c r="B117" s="546" t="s">
        <v>2275</v>
      </c>
      <c r="C117" s="588">
        <f>358.36*1.1*1.1</f>
        <v>433.6156000000001</v>
      </c>
      <c r="D117" s="366">
        <f t="shared" si="6"/>
        <v>511.66640800000005</v>
      </c>
    </row>
    <row r="118" spans="1:4" s="364" customFormat="1" ht="12.75">
      <c r="A118" s="655" t="s">
        <v>1238</v>
      </c>
      <c r="B118" s="362" t="s">
        <v>1049</v>
      </c>
      <c r="C118" s="588">
        <f>898.29*1.1*1.1</f>
        <v>1086.9309</v>
      </c>
      <c r="D118" s="366">
        <f>C118*1.18</f>
        <v>1282.578462</v>
      </c>
    </row>
    <row r="119" spans="1:4" s="364" customFormat="1" ht="12.75">
      <c r="A119" s="655" t="s">
        <v>1239</v>
      </c>
      <c r="B119" s="546" t="s">
        <v>3312</v>
      </c>
      <c r="C119" s="588">
        <f>191*4*1.1*1.1</f>
        <v>924.4400000000002</v>
      </c>
      <c r="D119" s="366">
        <f>C119*1.18</f>
        <v>1090.8392000000001</v>
      </c>
    </row>
    <row r="120" spans="1:4" s="364" customFormat="1" ht="12.75">
      <c r="A120" s="655" t="s">
        <v>1240</v>
      </c>
      <c r="B120" s="362" t="s">
        <v>1043</v>
      </c>
      <c r="C120" s="588">
        <f>219*1.1</f>
        <v>240.9</v>
      </c>
      <c r="D120" s="366">
        <f>C120*1.18</f>
        <v>284.262</v>
      </c>
    </row>
    <row r="121" spans="1:4" s="364" customFormat="1" ht="12.75">
      <c r="A121" s="655" t="s">
        <v>1241</v>
      </c>
      <c r="B121" s="362" t="s">
        <v>561</v>
      </c>
      <c r="C121" s="588">
        <f>191.13*1.1*1.1</f>
        <v>231.26730000000003</v>
      </c>
      <c r="D121" s="366">
        <f>C121*1.18</f>
        <v>272.895414</v>
      </c>
    </row>
    <row r="122" spans="1:4" s="364" customFormat="1" ht="12.75">
      <c r="A122" s="655" t="s">
        <v>1242</v>
      </c>
      <c r="B122" s="362" t="s">
        <v>3313</v>
      </c>
      <c r="C122" s="588">
        <f>191*3*1.1*1.1</f>
        <v>693.3300000000002</v>
      </c>
      <c r="D122" s="366">
        <f>C122*1.18</f>
        <v>818.1294000000001</v>
      </c>
    </row>
    <row r="123" spans="1:4" ht="12.75">
      <c r="A123" s="656" t="s">
        <v>1243</v>
      </c>
      <c r="B123" s="323" t="s">
        <v>1838</v>
      </c>
      <c r="C123" s="586">
        <f>286.69*1.1*1.1</f>
        <v>346.89490000000006</v>
      </c>
      <c r="D123" s="149">
        <f t="shared" si="6"/>
        <v>409.33598200000006</v>
      </c>
    </row>
    <row r="124" spans="1:4" ht="12.75">
      <c r="A124" s="656" t="s">
        <v>1244</v>
      </c>
      <c r="B124" s="323" t="s">
        <v>2400</v>
      </c>
      <c r="C124" s="586">
        <f>191.13*1.1*1.1</f>
        <v>231.26730000000003</v>
      </c>
      <c r="D124" s="149">
        <f t="shared" si="6"/>
        <v>272.895414</v>
      </c>
    </row>
    <row r="125" spans="1:4" ht="12.75">
      <c r="A125" s="656" t="s">
        <v>1245</v>
      </c>
      <c r="B125" s="323" t="s">
        <v>2276</v>
      </c>
      <c r="C125" s="586">
        <f>477.81*1.1*1.1</f>
        <v>578.1501000000001</v>
      </c>
      <c r="D125" s="149">
        <f t="shared" si="6"/>
        <v>682.217118</v>
      </c>
    </row>
    <row r="126" spans="1:4" ht="12.75">
      <c r="A126" s="656" t="s">
        <v>1246</v>
      </c>
      <c r="B126" s="323" t="s">
        <v>1971</v>
      </c>
      <c r="C126" s="586">
        <f>732.65*1.1*1.1</f>
        <v>886.5065000000002</v>
      </c>
      <c r="D126" s="149">
        <f t="shared" si="6"/>
        <v>1046.0776700000001</v>
      </c>
    </row>
    <row r="127" spans="1:4" ht="12.75">
      <c r="A127" s="656" t="s">
        <v>1247</v>
      </c>
      <c r="B127" s="323" t="s">
        <v>1972</v>
      </c>
      <c r="C127" s="586">
        <f>549.48*1.1*1.1</f>
        <v>664.8708000000001</v>
      </c>
      <c r="D127" s="149">
        <f t="shared" si="6"/>
        <v>784.5475440000001</v>
      </c>
    </row>
    <row r="128" spans="1:4" ht="12.75">
      <c r="A128" s="656" t="s">
        <v>1248</v>
      </c>
      <c r="B128" s="323" t="s">
        <v>2061</v>
      </c>
      <c r="C128" s="586">
        <f>732.65*1.1*1.1</f>
        <v>886.5065000000002</v>
      </c>
      <c r="D128" s="149">
        <f t="shared" si="6"/>
        <v>1046.0776700000001</v>
      </c>
    </row>
    <row r="129" spans="1:4" ht="12.75">
      <c r="A129" s="656" t="s">
        <v>1249</v>
      </c>
      <c r="B129" s="323" t="s">
        <v>1973</v>
      </c>
      <c r="C129" s="586">
        <f>549.48*1.1*1.1</f>
        <v>664.8708000000001</v>
      </c>
      <c r="D129" s="149">
        <f t="shared" si="6"/>
        <v>784.5475440000001</v>
      </c>
    </row>
    <row r="130" spans="1:4" ht="12.75">
      <c r="A130" s="656" t="s">
        <v>1250</v>
      </c>
      <c r="B130" s="323" t="s">
        <v>1047</v>
      </c>
      <c r="C130" s="586">
        <f>911.03*1.1*1.1</f>
        <v>1102.3463000000002</v>
      </c>
      <c r="D130" s="149">
        <f t="shared" si="6"/>
        <v>1300.768634</v>
      </c>
    </row>
    <row r="131" spans="1:4" ht="12.75">
      <c r="A131" s="657" t="s">
        <v>3314</v>
      </c>
      <c r="B131" s="323" t="s">
        <v>1048</v>
      </c>
      <c r="C131" s="586">
        <f>875.99*1.1*1.1</f>
        <v>1059.9479000000001</v>
      </c>
      <c r="D131" s="149">
        <f t="shared" si="6"/>
        <v>1250.738522</v>
      </c>
    </row>
    <row r="132" spans="1:4" ht="12.75">
      <c r="A132" s="657" t="s">
        <v>3315</v>
      </c>
      <c r="B132" s="323" t="s">
        <v>1083</v>
      </c>
      <c r="C132" s="586">
        <f>860.06*1.1*1.1</f>
        <v>1040.6726</v>
      </c>
      <c r="D132" s="149">
        <f t="shared" si="6"/>
        <v>1227.993668</v>
      </c>
    </row>
    <row r="133" spans="1:4" s="364" customFormat="1" ht="12.75">
      <c r="A133" s="658" t="s">
        <v>3316</v>
      </c>
      <c r="B133" s="546" t="s">
        <v>3317</v>
      </c>
      <c r="C133" s="357">
        <f>191*1.2*1.1*1.1</f>
        <v>277.33200000000005</v>
      </c>
      <c r="D133" s="366">
        <f t="shared" si="6"/>
        <v>327.25176000000005</v>
      </c>
    </row>
    <row r="134" spans="1:4" ht="13.5" thickBot="1">
      <c r="A134" s="659" t="s">
        <v>3318</v>
      </c>
      <c r="B134" s="660" t="s">
        <v>2273</v>
      </c>
      <c r="C134" s="587">
        <f>1356.03*1.1*1.1</f>
        <v>1640.7963000000002</v>
      </c>
      <c r="D134" s="152">
        <f t="shared" si="6"/>
        <v>1936.1396340000001</v>
      </c>
    </row>
    <row r="135" spans="1:4" s="111" customFormat="1" ht="13.5" thickBot="1">
      <c r="A135" s="653" t="s">
        <v>1133</v>
      </c>
      <c r="B135" s="906" t="s">
        <v>1050</v>
      </c>
      <c r="C135" s="906"/>
      <c r="D135" s="906"/>
    </row>
    <row r="136" spans="1:4" ht="12.75">
      <c r="A136" s="317" t="s">
        <v>1251</v>
      </c>
      <c r="B136" s="146" t="s">
        <v>2275</v>
      </c>
      <c r="C136" s="585">
        <f>267.58*1.1*1.1</f>
        <v>323.77180000000004</v>
      </c>
      <c r="D136" s="147">
        <f aca="true" t="shared" si="7" ref="D136:D163">C136*1.18</f>
        <v>382.050724</v>
      </c>
    </row>
    <row r="137" spans="1:4" ht="12.75">
      <c r="A137" s="272" t="s">
        <v>1252</v>
      </c>
      <c r="B137" s="148" t="s">
        <v>1976</v>
      </c>
      <c r="C137" s="586">
        <f>191.13*1.1*1.1</f>
        <v>231.26730000000003</v>
      </c>
      <c r="D137" s="149">
        <f t="shared" si="7"/>
        <v>272.895414</v>
      </c>
    </row>
    <row r="138" spans="1:4" ht="12.75">
      <c r="A138" s="272" t="s">
        <v>1253</v>
      </c>
      <c r="B138" s="148" t="s">
        <v>2666</v>
      </c>
      <c r="C138" s="586">
        <f>191.13*1.1*1.1</f>
        <v>231.26730000000003</v>
      </c>
      <c r="D138" s="149">
        <f t="shared" si="7"/>
        <v>272.895414</v>
      </c>
    </row>
    <row r="139" spans="1:4" ht="12.75">
      <c r="A139" s="272" t="s">
        <v>1254</v>
      </c>
      <c r="B139" s="148" t="s">
        <v>1051</v>
      </c>
      <c r="C139" s="586">
        <f>382.25*1.1*1.1</f>
        <v>462.52250000000004</v>
      </c>
      <c r="D139" s="149">
        <f t="shared" si="7"/>
        <v>545.77655</v>
      </c>
    </row>
    <row r="140" spans="1:4" ht="12.75">
      <c r="A140" s="272" t="s">
        <v>1255</v>
      </c>
      <c r="B140" s="148" t="s">
        <v>1052</v>
      </c>
      <c r="C140" s="586">
        <f>191.13*1.1*1.1</f>
        <v>231.26730000000003</v>
      </c>
      <c r="D140" s="149">
        <f t="shared" si="7"/>
        <v>272.895414</v>
      </c>
    </row>
    <row r="141" spans="1:4" ht="12.75">
      <c r="A141" s="272" t="s">
        <v>1256</v>
      </c>
      <c r="B141" s="148" t="s">
        <v>1636</v>
      </c>
      <c r="C141" s="586">
        <f>199.09*1.1*1.1</f>
        <v>240.89890000000005</v>
      </c>
      <c r="D141" s="149">
        <f t="shared" si="7"/>
        <v>284.26070200000004</v>
      </c>
    </row>
    <row r="142" spans="1:4" ht="12.75">
      <c r="A142" s="272" t="s">
        <v>1257</v>
      </c>
      <c r="B142" s="148" t="s">
        <v>2268</v>
      </c>
      <c r="C142" s="586">
        <f>298.63*1.1*1.1</f>
        <v>361.3423</v>
      </c>
      <c r="D142" s="149">
        <f t="shared" si="7"/>
        <v>426.383914</v>
      </c>
    </row>
    <row r="143" spans="1:4" ht="12.75">
      <c r="A143" s="272" t="s">
        <v>1258</v>
      </c>
      <c r="B143" s="148" t="s">
        <v>1974</v>
      </c>
      <c r="C143" s="586">
        <f>146.53*1.1*1.1</f>
        <v>177.30130000000003</v>
      </c>
      <c r="D143" s="149">
        <f t="shared" si="7"/>
        <v>209.21553400000002</v>
      </c>
    </row>
    <row r="144" spans="1:4" ht="25.5">
      <c r="A144" s="272" t="s">
        <v>1259</v>
      </c>
      <c r="B144" s="148" t="s">
        <v>1644</v>
      </c>
      <c r="C144" s="586">
        <f>477.81*1.1*1.1</f>
        <v>578.1501000000001</v>
      </c>
      <c r="D144" s="149">
        <f t="shared" si="7"/>
        <v>682.217118</v>
      </c>
    </row>
    <row r="145" spans="1:4" ht="25.5">
      <c r="A145" s="272" t="s">
        <v>1260</v>
      </c>
      <c r="B145" s="148" t="s">
        <v>1645</v>
      </c>
      <c r="C145" s="586">
        <f>159.27*1.1*1.1</f>
        <v>192.71670000000006</v>
      </c>
      <c r="D145" s="149">
        <f t="shared" si="7"/>
        <v>227.40570600000007</v>
      </c>
    </row>
    <row r="146" spans="1:4" ht="12.75">
      <c r="A146" s="272" t="s">
        <v>1261</v>
      </c>
      <c r="B146" s="148" t="s">
        <v>1583</v>
      </c>
      <c r="C146" s="586">
        <f>842.54*1.1*1.1</f>
        <v>1019.4734000000001</v>
      </c>
      <c r="D146" s="149">
        <f t="shared" si="7"/>
        <v>1202.978612</v>
      </c>
    </row>
    <row r="147" spans="1:4" ht="12.75">
      <c r="A147" s="272" t="s">
        <v>1262</v>
      </c>
      <c r="B147" s="148" t="s">
        <v>1584</v>
      </c>
      <c r="C147" s="586">
        <f>764.5*1.1*1.1</f>
        <v>925.0450000000001</v>
      </c>
      <c r="D147" s="149">
        <f t="shared" si="7"/>
        <v>1091.5531</v>
      </c>
    </row>
    <row r="148" spans="1:4" ht="12.75">
      <c r="A148" s="272" t="s">
        <v>1263</v>
      </c>
      <c r="B148" s="148" t="s">
        <v>824</v>
      </c>
      <c r="C148" s="586">
        <f>726.28*1.1*1.1</f>
        <v>878.7988000000001</v>
      </c>
      <c r="D148" s="149">
        <f t="shared" si="7"/>
        <v>1036.982584</v>
      </c>
    </row>
    <row r="149" spans="1:4" ht="12.75">
      <c r="A149" s="272" t="s">
        <v>1264</v>
      </c>
      <c r="B149" s="148" t="s">
        <v>1646</v>
      </c>
      <c r="C149" s="586">
        <f>573.38*1.1*1.1</f>
        <v>693.7898000000001</v>
      </c>
      <c r="D149" s="149">
        <f t="shared" si="7"/>
        <v>818.6719640000001</v>
      </c>
    </row>
    <row r="150" spans="1:4" s="364" customFormat="1" ht="12.75">
      <c r="A150" s="368" t="s">
        <v>1265</v>
      </c>
      <c r="B150" s="669" t="s">
        <v>3319</v>
      </c>
      <c r="C150" s="596">
        <f>191*0.5*1.1*1.1</f>
        <v>115.55500000000002</v>
      </c>
      <c r="D150" s="366">
        <f t="shared" si="7"/>
        <v>136.35490000000001</v>
      </c>
    </row>
    <row r="151" spans="1:4" s="10" customFormat="1" ht="12.75">
      <c r="A151" s="272" t="s">
        <v>1266</v>
      </c>
      <c r="B151" s="148" t="s">
        <v>2205</v>
      </c>
      <c r="C151" s="586">
        <f>191.13*1.1*1.1</f>
        <v>231.26730000000003</v>
      </c>
      <c r="D151" s="149">
        <f t="shared" si="7"/>
        <v>272.895414</v>
      </c>
    </row>
    <row r="152" spans="1:4" s="10" customFormat="1" ht="12.75">
      <c r="A152" s="272" t="s">
        <v>1267</v>
      </c>
      <c r="B152" s="148" t="s">
        <v>1082</v>
      </c>
      <c r="C152" s="586">
        <f>191.13*1.1*1.1</f>
        <v>231.26730000000003</v>
      </c>
      <c r="D152" s="149">
        <f t="shared" si="7"/>
        <v>272.895414</v>
      </c>
    </row>
    <row r="153" spans="1:4" s="10" customFormat="1" ht="12.75">
      <c r="A153" s="272" t="s">
        <v>1268</v>
      </c>
      <c r="B153" s="148" t="s">
        <v>1826</v>
      </c>
      <c r="C153" s="586">
        <f>1376.1*1.1*1.1</f>
        <v>1665.0810000000001</v>
      </c>
      <c r="D153" s="149">
        <f t="shared" si="7"/>
        <v>1964.79558</v>
      </c>
    </row>
    <row r="154" spans="1:4" s="10" customFormat="1" ht="12.75">
      <c r="A154" s="272" t="s">
        <v>1269</v>
      </c>
      <c r="B154" s="148" t="s">
        <v>1830</v>
      </c>
      <c r="C154" s="586">
        <f>159.27*1.1*1.1</f>
        <v>192.71670000000006</v>
      </c>
      <c r="D154" s="149">
        <f t="shared" si="7"/>
        <v>227.40570600000007</v>
      </c>
    </row>
    <row r="155" spans="1:4" s="10" customFormat="1" ht="12.75">
      <c r="A155" s="272" t="s">
        <v>1270</v>
      </c>
      <c r="B155" s="148" t="s">
        <v>2206</v>
      </c>
      <c r="C155" s="586">
        <f>573.38*1.1*1.1</f>
        <v>693.7898000000001</v>
      </c>
      <c r="D155" s="149">
        <f t="shared" si="7"/>
        <v>818.6719640000001</v>
      </c>
    </row>
    <row r="156" spans="1:4" s="10" customFormat="1" ht="12.75">
      <c r="A156" s="272" t="s">
        <v>1271</v>
      </c>
      <c r="B156" s="148" t="s">
        <v>1831</v>
      </c>
      <c r="C156" s="586">
        <f>286.69*1.1*1.1</f>
        <v>346.89490000000006</v>
      </c>
      <c r="D156" s="149">
        <f t="shared" si="7"/>
        <v>409.33598200000006</v>
      </c>
    </row>
    <row r="157" spans="1:4" s="10" customFormat="1" ht="12.75">
      <c r="A157" s="272" t="s">
        <v>1272</v>
      </c>
      <c r="B157" s="148" t="s">
        <v>1975</v>
      </c>
      <c r="C157" s="586">
        <f>382.25*1.1*1.1</f>
        <v>462.52250000000004</v>
      </c>
      <c r="D157" s="149">
        <f t="shared" si="7"/>
        <v>545.77655</v>
      </c>
    </row>
    <row r="158" spans="1:4" s="10" customFormat="1" ht="12.75">
      <c r="A158" s="272" t="s">
        <v>1273</v>
      </c>
      <c r="B158" s="160" t="s">
        <v>2273</v>
      </c>
      <c r="C158" s="586">
        <f>1356.03*1.1*1.1</f>
        <v>1640.7963000000002</v>
      </c>
      <c r="D158" s="161">
        <f t="shared" si="7"/>
        <v>1936.1396340000001</v>
      </c>
    </row>
    <row r="159" spans="1:4" s="10" customFormat="1" ht="12.75">
      <c r="A159" s="272" t="s">
        <v>1274</v>
      </c>
      <c r="B159" s="148" t="s">
        <v>1827</v>
      </c>
      <c r="C159" s="586">
        <f>119.45*1.1*1.1</f>
        <v>144.53450000000004</v>
      </c>
      <c r="D159" s="149">
        <f>C159*1.18</f>
        <v>170.55071000000004</v>
      </c>
    </row>
    <row r="160" spans="1:4" s="10" customFormat="1" ht="12.75">
      <c r="A160" s="272" t="s">
        <v>1275</v>
      </c>
      <c r="B160" s="148" t="s">
        <v>1828</v>
      </c>
      <c r="C160" s="586">
        <f>298.63*1.1*1.1</f>
        <v>361.3423</v>
      </c>
      <c r="D160" s="149">
        <f>C160*1.18</f>
        <v>426.383914</v>
      </c>
    </row>
    <row r="161" spans="1:4" s="10" customFormat="1" ht="12.75">
      <c r="A161" s="765" t="s">
        <v>1276</v>
      </c>
      <c r="B161" s="148" t="s">
        <v>1829</v>
      </c>
      <c r="C161" s="586">
        <f>573.38*1.1*1.1</f>
        <v>693.7898000000001</v>
      </c>
      <c r="D161" s="149">
        <f>C161*1.18</f>
        <v>818.6719640000001</v>
      </c>
    </row>
    <row r="162" spans="1:4" s="10" customFormat="1" ht="12.75">
      <c r="A162" s="595" t="s">
        <v>2361</v>
      </c>
      <c r="B162" s="148" t="s">
        <v>1825</v>
      </c>
      <c r="C162" s="586">
        <f>191.13*1.1*1.1</f>
        <v>231.26730000000003</v>
      </c>
      <c r="D162" s="149">
        <f>C162*1.18</f>
        <v>272.895414</v>
      </c>
    </row>
    <row r="163" spans="1:4" s="10" customFormat="1" ht="13.5" thickBot="1">
      <c r="A163" s="364" t="s">
        <v>3320</v>
      </c>
      <c r="B163" s="750" t="s">
        <v>2362</v>
      </c>
      <c r="C163" s="587">
        <f>191.13*1.1*1.1</f>
        <v>231.26730000000003</v>
      </c>
      <c r="D163" s="650">
        <f t="shared" si="7"/>
        <v>272.895414</v>
      </c>
    </row>
    <row r="164" spans="1:4" s="226" customFormat="1" ht="12.75" thickBot="1">
      <c r="A164" s="573" t="s">
        <v>1134</v>
      </c>
      <c r="B164" s="917" t="s">
        <v>1832</v>
      </c>
      <c r="C164" s="917"/>
      <c r="D164" s="917"/>
    </row>
    <row r="165" spans="1:4" ht="12.75">
      <c r="A165" s="574" t="s">
        <v>1277</v>
      </c>
      <c r="B165" s="146" t="s">
        <v>1833</v>
      </c>
      <c r="C165" s="585">
        <f>258.82*1.1*1.1</f>
        <v>313.17220000000003</v>
      </c>
      <c r="D165" s="147">
        <f aca="true" t="shared" si="8" ref="D165:D192">C165*1.18</f>
        <v>369.543196</v>
      </c>
    </row>
    <row r="166" spans="1:4" ht="12.75">
      <c r="A166" s="272" t="s">
        <v>1278</v>
      </c>
      <c r="B166" s="148" t="s">
        <v>1636</v>
      </c>
      <c r="C166" s="586">
        <f>139.36*1.1*1.1</f>
        <v>168.62560000000005</v>
      </c>
      <c r="D166" s="149">
        <f t="shared" si="8"/>
        <v>198.97820800000005</v>
      </c>
    </row>
    <row r="167" spans="1:4" ht="12.75">
      <c r="A167" s="272" t="s">
        <v>1279</v>
      </c>
      <c r="B167" s="148" t="s">
        <v>1834</v>
      </c>
      <c r="C167" s="586">
        <f>159.27*1.1*1.1</f>
        <v>192.71670000000006</v>
      </c>
      <c r="D167" s="149">
        <f t="shared" si="8"/>
        <v>227.40570600000007</v>
      </c>
    </row>
    <row r="168" spans="1:4" ht="12.75">
      <c r="A168" s="272" t="s">
        <v>1280</v>
      </c>
      <c r="B168" s="148" t="s">
        <v>1583</v>
      </c>
      <c r="C168" s="586">
        <f>842.54*1.1*1.1</f>
        <v>1019.4734000000001</v>
      </c>
      <c r="D168" s="149">
        <f t="shared" si="8"/>
        <v>1202.978612</v>
      </c>
    </row>
    <row r="169" spans="1:4" ht="12.75">
      <c r="A169" s="272" t="s">
        <v>1281</v>
      </c>
      <c r="B169" s="148" t="s">
        <v>1584</v>
      </c>
      <c r="C169" s="586">
        <f>732.65*1.1*1.1</f>
        <v>886.5065000000002</v>
      </c>
      <c r="D169" s="149">
        <f t="shared" si="8"/>
        <v>1046.0776700000001</v>
      </c>
    </row>
    <row r="170" spans="1:4" ht="12.75">
      <c r="A170" s="272" t="s">
        <v>1282</v>
      </c>
      <c r="B170" s="148" t="s">
        <v>1835</v>
      </c>
      <c r="C170" s="586">
        <f>229.35*1.1*1.1</f>
        <v>277.5135</v>
      </c>
      <c r="D170" s="149">
        <f t="shared" si="8"/>
        <v>327.46593</v>
      </c>
    </row>
    <row r="171" spans="1:4" ht="12.75">
      <c r="A171" s="272" t="s">
        <v>1283</v>
      </c>
      <c r="B171" s="148" t="s">
        <v>1836</v>
      </c>
      <c r="C171" s="586">
        <f>382.25*1.1*1.1</f>
        <v>462.52250000000004</v>
      </c>
      <c r="D171" s="149">
        <f t="shared" si="8"/>
        <v>545.77655</v>
      </c>
    </row>
    <row r="172" spans="1:4" ht="12.75">
      <c r="A172" s="272" t="s">
        <v>1284</v>
      </c>
      <c r="B172" s="148" t="s">
        <v>1837</v>
      </c>
      <c r="C172" s="586">
        <f>879.18*1.1*1.1</f>
        <v>1063.8078000000003</v>
      </c>
      <c r="D172" s="149">
        <f t="shared" si="8"/>
        <v>1255.2932040000003</v>
      </c>
    </row>
    <row r="173" spans="1:4" ht="12.75">
      <c r="A173" s="272" t="s">
        <v>1285</v>
      </c>
      <c r="B173" s="148" t="s">
        <v>1160</v>
      </c>
      <c r="C173" s="586">
        <f>358.36*1.1*1.1</f>
        <v>433.6156000000001</v>
      </c>
      <c r="D173" s="149">
        <f t="shared" si="8"/>
        <v>511.66640800000005</v>
      </c>
    </row>
    <row r="174" spans="1:4" ht="12.75">
      <c r="A174" s="272" t="s">
        <v>1286</v>
      </c>
      <c r="B174" s="148" t="s">
        <v>1658</v>
      </c>
      <c r="C174" s="586">
        <f>99.54*1.1*1.1</f>
        <v>120.44340000000003</v>
      </c>
      <c r="D174" s="149">
        <f t="shared" si="8"/>
        <v>142.12321200000002</v>
      </c>
    </row>
    <row r="175" spans="1:4" ht="12.75">
      <c r="A175" s="656" t="s">
        <v>1287</v>
      </c>
      <c r="B175" s="323" t="s">
        <v>1838</v>
      </c>
      <c r="C175" s="586">
        <f>291.47*1.1*1.1</f>
        <v>352.6787000000001</v>
      </c>
      <c r="D175" s="149">
        <f t="shared" si="8"/>
        <v>416.1608660000001</v>
      </c>
    </row>
    <row r="176" spans="1:4" ht="12.75">
      <c r="A176" s="656" t="s">
        <v>1288</v>
      </c>
      <c r="B176" s="323" t="s">
        <v>2275</v>
      </c>
      <c r="C176" s="586">
        <f>278.72*1.1*1.1</f>
        <v>337.2512000000001</v>
      </c>
      <c r="D176" s="149">
        <f t="shared" si="8"/>
        <v>397.9564160000001</v>
      </c>
    </row>
    <row r="177" spans="1:4" s="364" customFormat="1" ht="12.75">
      <c r="A177" s="368" t="s">
        <v>1289</v>
      </c>
      <c r="B177" s="669" t="s">
        <v>2394</v>
      </c>
      <c r="C177" s="596">
        <f>191*0.5*1.1*1.1</f>
        <v>115.55500000000002</v>
      </c>
      <c r="D177" s="366">
        <f t="shared" si="8"/>
        <v>136.35490000000001</v>
      </c>
    </row>
    <row r="178" spans="1:4" s="364" customFormat="1" ht="12.75">
      <c r="A178" s="368" t="s">
        <v>1290</v>
      </c>
      <c r="B178" s="367" t="s">
        <v>1839</v>
      </c>
      <c r="C178" s="588">
        <f>99.54*1.1*1.1</f>
        <v>120.44340000000003</v>
      </c>
      <c r="D178" s="366">
        <f t="shared" si="8"/>
        <v>142.12321200000002</v>
      </c>
    </row>
    <row r="179" spans="1:4" s="364" customFormat="1" ht="12.75">
      <c r="A179" s="368" t="s">
        <v>1291</v>
      </c>
      <c r="B179" s="367" t="s">
        <v>853</v>
      </c>
      <c r="C179" s="588">
        <f>159.27*1.1*1.1</f>
        <v>192.71670000000006</v>
      </c>
      <c r="D179" s="366">
        <f t="shared" si="8"/>
        <v>227.40570600000007</v>
      </c>
    </row>
    <row r="180" spans="1:4" s="364" customFormat="1" ht="12.75">
      <c r="A180" s="368" t="s">
        <v>1292</v>
      </c>
      <c r="B180" s="367" t="s">
        <v>854</v>
      </c>
      <c r="C180" s="588">
        <f>597.27*1.1*1.1</f>
        <v>722.6967000000002</v>
      </c>
      <c r="D180" s="366">
        <f t="shared" si="8"/>
        <v>852.7821060000002</v>
      </c>
    </row>
    <row r="181" spans="1:4" s="364" customFormat="1" ht="12.75">
      <c r="A181" s="368" t="s">
        <v>1293</v>
      </c>
      <c r="B181" s="367" t="s">
        <v>2273</v>
      </c>
      <c r="C181" s="588">
        <f>1356.03*1.1*1.1</f>
        <v>1640.7963000000002</v>
      </c>
      <c r="D181" s="366">
        <f t="shared" si="8"/>
        <v>1936.1396340000001</v>
      </c>
    </row>
    <row r="182" spans="1:4" s="364" customFormat="1" ht="12.75">
      <c r="A182" s="368" t="s">
        <v>1294</v>
      </c>
      <c r="B182" s="367" t="s">
        <v>2060</v>
      </c>
      <c r="C182" s="588">
        <f>549.48*1.1*1.1</f>
        <v>664.8708000000001</v>
      </c>
      <c r="D182" s="366">
        <f t="shared" si="8"/>
        <v>784.5475440000001</v>
      </c>
    </row>
    <row r="183" spans="1:4" s="364" customFormat="1" ht="12.75">
      <c r="A183" s="368" t="s">
        <v>1295</v>
      </c>
      <c r="B183" s="367" t="s">
        <v>2061</v>
      </c>
      <c r="C183" s="588">
        <f>549.48*1.1*1.1</f>
        <v>664.8708000000001</v>
      </c>
      <c r="D183" s="366">
        <f t="shared" si="8"/>
        <v>784.5475440000001</v>
      </c>
    </row>
    <row r="184" spans="1:4" s="364" customFormat="1" ht="12.75">
      <c r="A184" s="368" t="s">
        <v>1296</v>
      </c>
      <c r="B184" s="670" t="s">
        <v>1044</v>
      </c>
      <c r="C184" s="357">
        <f>191*2.8*1.1*1.1</f>
        <v>647.1080000000001</v>
      </c>
      <c r="D184" s="366">
        <f t="shared" si="8"/>
        <v>763.58744</v>
      </c>
    </row>
    <row r="185" spans="1:4" s="364" customFormat="1" ht="12.75">
      <c r="A185" s="368" t="s">
        <v>1297</v>
      </c>
      <c r="B185" s="367" t="s">
        <v>640</v>
      </c>
      <c r="C185" s="588">
        <f>99.54*1.1*1.1</f>
        <v>120.44340000000003</v>
      </c>
      <c r="D185" s="366">
        <f t="shared" si="8"/>
        <v>142.12321200000002</v>
      </c>
    </row>
    <row r="186" spans="1:4" s="364" customFormat="1" ht="12.75">
      <c r="A186" s="368" t="s">
        <v>1110</v>
      </c>
      <c r="B186" s="367" t="s">
        <v>1602</v>
      </c>
      <c r="C186" s="588">
        <f>298.63*1.1*1.1</f>
        <v>361.3423</v>
      </c>
      <c r="D186" s="366">
        <f t="shared" si="8"/>
        <v>426.383914</v>
      </c>
    </row>
    <row r="187" spans="1:4" s="364" customFormat="1" ht="25.5">
      <c r="A187" s="368" t="s">
        <v>1111</v>
      </c>
      <c r="B187" s="367" t="s">
        <v>1603</v>
      </c>
      <c r="C187" s="588">
        <f>139.36*1.1*1.1</f>
        <v>168.62560000000005</v>
      </c>
      <c r="D187" s="366">
        <f t="shared" si="8"/>
        <v>198.97820800000005</v>
      </c>
    </row>
    <row r="188" spans="1:4" s="364" customFormat="1" ht="25.5">
      <c r="A188" s="598" t="s">
        <v>1112</v>
      </c>
      <c r="B188" s="367" t="s">
        <v>1604</v>
      </c>
      <c r="C188" s="588">
        <f>199.09*1.1*1.1</f>
        <v>240.89890000000005</v>
      </c>
      <c r="D188" s="366">
        <f t="shared" si="8"/>
        <v>284.26070200000004</v>
      </c>
    </row>
    <row r="189" spans="1:4" s="364" customFormat="1" ht="12.75">
      <c r="A189" s="368" t="s">
        <v>2961</v>
      </c>
      <c r="B189" s="599" t="s">
        <v>1478</v>
      </c>
      <c r="C189" s="588">
        <f>637.08*1.1*1.1</f>
        <v>770.8668000000002</v>
      </c>
      <c r="D189" s="366">
        <f t="shared" si="8"/>
        <v>909.6228240000003</v>
      </c>
    </row>
    <row r="190" spans="1:4" s="364" customFormat="1" ht="12.75">
      <c r="A190" s="368" t="s">
        <v>3321</v>
      </c>
      <c r="B190" s="367" t="s">
        <v>1479</v>
      </c>
      <c r="C190" s="588">
        <f>1114.9*1.1*1.1</f>
        <v>1349.0290000000002</v>
      </c>
      <c r="D190" s="366">
        <f t="shared" si="8"/>
        <v>1591.8542200000002</v>
      </c>
    </row>
    <row r="191" spans="1:4" s="364" customFormat="1" ht="12.75">
      <c r="A191" s="368" t="s">
        <v>3322</v>
      </c>
      <c r="B191" s="367" t="s">
        <v>1827</v>
      </c>
      <c r="C191" s="588">
        <f>114.68*1.1*1.1</f>
        <v>138.76280000000003</v>
      </c>
      <c r="D191" s="366">
        <f t="shared" si="8"/>
        <v>163.74010400000003</v>
      </c>
    </row>
    <row r="192" spans="1:4" s="364" customFormat="1" ht="13.5" thickBot="1">
      <c r="A192" s="652" t="s">
        <v>3323</v>
      </c>
      <c r="B192" s="671" t="s">
        <v>3324</v>
      </c>
      <c r="C192" s="587">
        <f>191*1*1.1*1.1</f>
        <v>231.11000000000004</v>
      </c>
      <c r="D192" s="650">
        <f t="shared" si="8"/>
        <v>272.70980000000003</v>
      </c>
    </row>
    <row r="193" spans="1:4" s="404" customFormat="1" ht="13.5" thickBot="1">
      <c r="A193" s="651" t="s">
        <v>2189</v>
      </c>
      <c r="B193" s="918" t="s">
        <v>855</v>
      </c>
      <c r="C193" s="919"/>
      <c r="D193" s="920"/>
    </row>
    <row r="194" spans="1:4" ht="12.75">
      <c r="A194" s="317" t="s">
        <v>1113</v>
      </c>
      <c r="B194" s="146" t="s">
        <v>1833</v>
      </c>
      <c r="C194" s="585">
        <f>238.91*1.1*1.1</f>
        <v>289.08110000000005</v>
      </c>
      <c r="D194" s="147">
        <f aca="true" t="shared" si="9" ref="D194:D213">C194*1.18</f>
        <v>341.11569800000007</v>
      </c>
    </row>
    <row r="195" spans="1:4" ht="12.75">
      <c r="A195" s="272" t="s">
        <v>1114</v>
      </c>
      <c r="B195" s="148" t="s">
        <v>1637</v>
      </c>
      <c r="C195" s="586">
        <f>199.09*1.1*1.1</f>
        <v>240.89890000000005</v>
      </c>
      <c r="D195" s="149">
        <f t="shared" si="9"/>
        <v>284.26070200000004</v>
      </c>
    </row>
    <row r="196" spans="1:4" ht="12.75">
      <c r="A196" s="272" t="s">
        <v>1115</v>
      </c>
      <c r="B196" s="150" t="s">
        <v>3411</v>
      </c>
      <c r="C196" s="586">
        <f>191.13*1.1*1.1</f>
        <v>231.26730000000003</v>
      </c>
      <c r="D196" s="149">
        <f>C196*1.18</f>
        <v>272.895414</v>
      </c>
    </row>
    <row r="197" spans="1:4" ht="12.75">
      <c r="A197" s="272" t="s">
        <v>1116</v>
      </c>
      <c r="B197" s="148" t="s">
        <v>1567</v>
      </c>
      <c r="C197" s="586">
        <f>199.09*1.1*1.1</f>
        <v>240.89890000000005</v>
      </c>
      <c r="D197" s="149">
        <f t="shared" si="9"/>
        <v>284.26070200000004</v>
      </c>
    </row>
    <row r="198" spans="1:4" ht="12.75">
      <c r="A198" s="272" t="s">
        <v>1117</v>
      </c>
      <c r="B198" s="148" t="s">
        <v>2387</v>
      </c>
      <c r="C198" s="586">
        <f>398.18*1.1*1.1</f>
        <v>481.7978000000001</v>
      </c>
      <c r="D198" s="149">
        <f t="shared" si="9"/>
        <v>568.5214040000001</v>
      </c>
    </row>
    <row r="199" spans="1:4" ht="12.75">
      <c r="A199" s="272" t="s">
        <v>1118</v>
      </c>
      <c r="B199" s="148" t="s">
        <v>1568</v>
      </c>
      <c r="C199" s="586">
        <f>298.63*1.1*1.1</f>
        <v>361.3423</v>
      </c>
      <c r="D199" s="149">
        <f t="shared" si="9"/>
        <v>426.383914</v>
      </c>
    </row>
    <row r="200" spans="1:4" s="364" customFormat="1" ht="12.75">
      <c r="A200" s="368" t="s">
        <v>1119</v>
      </c>
      <c r="B200" s="367" t="s">
        <v>1569</v>
      </c>
      <c r="C200" s="588">
        <f>199.09*1.1*1.1</f>
        <v>240.89890000000005</v>
      </c>
      <c r="D200" s="366">
        <f t="shared" si="9"/>
        <v>284.26070200000004</v>
      </c>
    </row>
    <row r="201" spans="1:4" ht="12.75">
      <c r="A201" s="272" t="s">
        <v>1120</v>
      </c>
      <c r="B201" s="148" t="s">
        <v>1599</v>
      </c>
      <c r="C201" s="586">
        <f>382.25*1.1*1.1</f>
        <v>462.52250000000004</v>
      </c>
      <c r="D201" s="149">
        <f>C201*1.18</f>
        <v>545.77655</v>
      </c>
    </row>
    <row r="202" spans="1:4" ht="12.75">
      <c r="A202" s="272" t="s">
        <v>1121</v>
      </c>
      <c r="B202" s="148" t="s">
        <v>1597</v>
      </c>
      <c r="C202" s="586">
        <f>199.09*1.1*1.1</f>
        <v>240.89890000000005</v>
      </c>
      <c r="D202" s="149">
        <f t="shared" si="9"/>
        <v>284.26070200000004</v>
      </c>
    </row>
    <row r="203" spans="1:4" ht="12.75">
      <c r="A203" s="272" t="s">
        <v>1122</v>
      </c>
      <c r="B203" s="148" t="s">
        <v>1598</v>
      </c>
      <c r="C203" s="586">
        <f>159.27*1.1*1.1</f>
        <v>192.71670000000006</v>
      </c>
      <c r="D203" s="149">
        <f t="shared" si="9"/>
        <v>227.40570600000007</v>
      </c>
    </row>
    <row r="204" spans="1:4" ht="12.75">
      <c r="A204" s="272" t="s">
        <v>1123</v>
      </c>
      <c r="B204" s="148" t="s">
        <v>1570</v>
      </c>
      <c r="C204" s="586">
        <f>199.09*1.1*1.1</f>
        <v>240.89890000000005</v>
      </c>
      <c r="D204" s="149">
        <f>C204*1.18</f>
        <v>284.26070200000004</v>
      </c>
    </row>
    <row r="205" spans="1:4" ht="12.75">
      <c r="A205" s="272" t="s">
        <v>1124</v>
      </c>
      <c r="B205" s="148" t="s">
        <v>2273</v>
      </c>
      <c r="C205" s="586">
        <f>1356.03*1.1*1.1</f>
        <v>1640.7963000000002</v>
      </c>
      <c r="D205" s="149">
        <f t="shared" si="9"/>
        <v>1936.1396340000001</v>
      </c>
    </row>
    <row r="206" spans="1:4" ht="12.75">
      <c r="A206" s="272" t="s">
        <v>1125</v>
      </c>
      <c r="B206" s="150" t="s">
        <v>1647</v>
      </c>
      <c r="C206" s="586">
        <f>398.18*1.1*1.1</f>
        <v>481.7978000000001</v>
      </c>
      <c r="D206" s="149">
        <f t="shared" si="9"/>
        <v>568.5214040000001</v>
      </c>
    </row>
    <row r="207" spans="1:4" ht="12.75">
      <c r="A207" s="272" t="s">
        <v>1126</v>
      </c>
      <c r="B207" s="150" t="s">
        <v>1648</v>
      </c>
      <c r="C207" s="586">
        <f>398.18*1.1*1.1</f>
        <v>481.7978000000001</v>
      </c>
      <c r="D207" s="149">
        <f t="shared" si="9"/>
        <v>568.5214040000001</v>
      </c>
    </row>
    <row r="208" spans="1:4" ht="12.75">
      <c r="A208" s="272" t="s">
        <v>1127</v>
      </c>
      <c r="B208" s="150" t="s">
        <v>2061</v>
      </c>
      <c r="C208" s="586">
        <f>366.32*1.1*1.1</f>
        <v>443.2472</v>
      </c>
      <c r="D208" s="149">
        <f t="shared" si="9"/>
        <v>523.031696</v>
      </c>
    </row>
    <row r="209" spans="1:4" ht="12.75">
      <c r="A209" s="571" t="s">
        <v>1128</v>
      </c>
      <c r="B209" s="148" t="s">
        <v>2060</v>
      </c>
      <c r="C209" s="586">
        <f>366.32*1.1*1.1</f>
        <v>443.2472</v>
      </c>
      <c r="D209" s="149">
        <f t="shared" si="9"/>
        <v>523.031696</v>
      </c>
    </row>
    <row r="210" spans="1:4" ht="12.75">
      <c r="A210" s="571" t="s">
        <v>2694</v>
      </c>
      <c r="B210" s="148" t="s">
        <v>1971</v>
      </c>
      <c r="C210" s="586">
        <f>219.79*1.1*1.1</f>
        <v>265.94590000000005</v>
      </c>
      <c r="D210" s="149">
        <f t="shared" si="9"/>
        <v>313.816162</v>
      </c>
    </row>
    <row r="211" spans="1:4" ht="12.75">
      <c r="A211" s="571" t="s">
        <v>2695</v>
      </c>
      <c r="B211" s="148" t="s">
        <v>1649</v>
      </c>
      <c r="C211" s="586">
        <f>219.79*1.1*1.1</f>
        <v>265.94590000000005</v>
      </c>
      <c r="D211" s="149">
        <f t="shared" si="9"/>
        <v>313.816162</v>
      </c>
    </row>
    <row r="212" spans="1:4" s="364" customFormat="1" ht="12.75">
      <c r="A212" s="595" t="s">
        <v>2696</v>
      </c>
      <c r="B212" s="670" t="s">
        <v>3325</v>
      </c>
      <c r="C212" s="357">
        <f>191*3.5*1.1*1.1</f>
        <v>808.8850000000001</v>
      </c>
      <c r="D212" s="366">
        <f t="shared" si="9"/>
        <v>954.4843000000001</v>
      </c>
    </row>
    <row r="213" spans="1:4" ht="12.75">
      <c r="A213" s="571" t="s">
        <v>2697</v>
      </c>
      <c r="B213" s="148" t="s">
        <v>3326</v>
      </c>
      <c r="C213" s="586">
        <f>955.63*1.1*1.1</f>
        <v>1156.3123</v>
      </c>
      <c r="D213" s="149">
        <f t="shared" si="9"/>
        <v>1364.448514</v>
      </c>
    </row>
    <row r="214" spans="1:4" ht="12.75">
      <c r="A214" s="571" t="s">
        <v>2698</v>
      </c>
      <c r="B214" s="148" t="s">
        <v>1606</v>
      </c>
      <c r="C214" s="586">
        <f>769.28*1.1*1.1</f>
        <v>930.8288000000001</v>
      </c>
      <c r="D214" s="149">
        <f>C214*1.18</f>
        <v>1098.377984</v>
      </c>
    </row>
    <row r="215" spans="1:4" ht="12.75">
      <c r="A215" s="571" t="s">
        <v>2699</v>
      </c>
      <c r="B215" s="148" t="s">
        <v>1605</v>
      </c>
      <c r="C215" s="586">
        <f>668.94*1.1*1.1</f>
        <v>809.4174000000003</v>
      </c>
      <c r="D215" s="149">
        <f>C215*1.18</f>
        <v>955.1125320000002</v>
      </c>
    </row>
    <row r="216" spans="1:4" ht="13.5" thickBot="1">
      <c r="A216" s="320" t="s">
        <v>3327</v>
      </c>
      <c r="B216" s="151" t="s">
        <v>2408</v>
      </c>
      <c r="C216" s="587">
        <f>199.09*1.1*1.1</f>
        <v>240.89890000000005</v>
      </c>
      <c r="D216" s="152">
        <f>C216*1.18</f>
        <v>284.26070200000004</v>
      </c>
    </row>
    <row r="217" spans="1:4" s="111" customFormat="1" ht="13.5" thickBot="1">
      <c r="A217" s="155" t="s">
        <v>2610</v>
      </c>
      <c r="B217" s="921" t="s">
        <v>1600</v>
      </c>
      <c r="C217" s="912"/>
      <c r="D217" s="922"/>
    </row>
    <row r="218" spans="1:4" ht="12.75">
      <c r="A218" s="574" t="s">
        <v>2700</v>
      </c>
      <c r="B218" s="146" t="s">
        <v>1639</v>
      </c>
      <c r="C218" s="585">
        <f>199.09*1.1*1.1</f>
        <v>240.89890000000005</v>
      </c>
      <c r="D218" s="147">
        <f aca="true" t="shared" si="10" ref="D218:D244">C218*1.18</f>
        <v>284.26070200000004</v>
      </c>
    </row>
    <row r="219" spans="1:4" s="10" customFormat="1" ht="12.75">
      <c r="A219" s="272" t="s">
        <v>2701</v>
      </c>
      <c r="B219" s="148" t="s">
        <v>1636</v>
      </c>
      <c r="C219" s="586">
        <f>139.36*1.1*1.1</f>
        <v>168.62560000000005</v>
      </c>
      <c r="D219" s="149">
        <f t="shared" si="10"/>
        <v>198.97820800000005</v>
      </c>
    </row>
    <row r="220" spans="1:4" s="364" customFormat="1" ht="12.75">
      <c r="A220" s="368" t="s">
        <v>2702</v>
      </c>
      <c r="B220" s="582" t="s">
        <v>1953</v>
      </c>
      <c r="C220" s="588">
        <f>191*0.25*1.1*1.1</f>
        <v>57.77750000000001</v>
      </c>
      <c r="D220" s="366">
        <f t="shared" si="10"/>
        <v>68.17745000000001</v>
      </c>
    </row>
    <row r="221" spans="1:4" s="10" customFormat="1" ht="12.75">
      <c r="A221" s="272" t="s">
        <v>2703</v>
      </c>
      <c r="B221" s="148" t="s">
        <v>1650</v>
      </c>
      <c r="C221" s="586">
        <f>99.54*1.1*1.1</f>
        <v>120.44340000000003</v>
      </c>
      <c r="D221" s="149">
        <f t="shared" si="10"/>
        <v>142.12321200000002</v>
      </c>
    </row>
    <row r="222" spans="1:4" ht="12.75">
      <c r="A222" s="272" t="s">
        <v>2704</v>
      </c>
      <c r="B222" s="164" t="s">
        <v>1601</v>
      </c>
      <c r="C222" s="586">
        <f>382.25*1.1*1.1</f>
        <v>462.52250000000004</v>
      </c>
      <c r="D222" s="149">
        <f t="shared" si="10"/>
        <v>545.77655</v>
      </c>
    </row>
    <row r="223" spans="1:4" ht="12.75">
      <c r="A223" s="272" t="s">
        <v>2705</v>
      </c>
      <c r="B223" s="148" t="s">
        <v>3328</v>
      </c>
      <c r="C223" s="586">
        <f>191.13*1.1*1.1</f>
        <v>231.26730000000003</v>
      </c>
      <c r="D223" s="149">
        <f t="shared" si="10"/>
        <v>272.895414</v>
      </c>
    </row>
    <row r="224" spans="1:4" s="364" customFormat="1" ht="12.75">
      <c r="A224" s="368" t="s">
        <v>2706</v>
      </c>
      <c r="B224" s="582" t="s">
        <v>2507</v>
      </c>
      <c r="C224" s="588">
        <f>191*2.5*1.1*1.1</f>
        <v>577.7750000000001</v>
      </c>
      <c r="D224" s="366">
        <f t="shared" si="10"/>
        <v>681.7745000000001</v>
      </c>
    </row>
    <row r="225" spans="1:4" s="364" customFormat="1" ht="12.75">
      <c r="A225" s="368" t="s">
        <v>2707</v>
      </c>
      <c r="B225" s="582" t="s">
        <v>3329</v>
      </c>
      <c r="C225" s="588">
        <f>191*3*1.1*1.1</f>
        <v>693.3300000000002</v>
      </c>
      <c r="D225" s="366">
        <f t="shared" si="10"/>
        <v>818.1294000000001</v>
      </c>
    </row>
    <row r="226" spans="1:4" ht="12.75">
      <c r="A226" s="272" t="s">
        <v>2708</v>
      </c>
      <c r="B226" s="148" t="s">
        <v>2059</v>
      </c>
      <c r="C226" s="586">
        <f>726.28*1.1*1.1</f>
        <v>878.7988000000001</v>
      </c>
      <c r="D226" s="149">
        <f t="shared" si="10"/>
        <v>1036.982584</v>
      </c>
    </row>
    <row r="227" spans="1:4" ht="12.75">
      <c r="A227" s="575" t="s">
        <v>2709</v>
      </c>
      <c r="B227" s="148" t="s">
        <v>2271</v>
      </c>
      <c r="C227" s="586">
        <f>659.38*1.1*1.1</f>
        <v>797.8498000000002</v>
      </c>
      <c r="D227" s="149">
        <f t="shared" si="10"/>
        <v>941.4627640000002</v>
      </c>
    </row>
    <row r="228" spans="1:4" ht="12.75">
      <c r="A228" s="272" t="s">
        <v>2710</v>
      </c>
      <c r="B228" s="572" t="s">
        <v>2272</v>
      </c>
      <c r="C228" s="586">
        <f>659.38*1.1*1.1</f>
        <v>797.8498000000002</v>
      </c>
      <c r="D228" s="576">
        <f t="shared" si="10"/>
        <v>941.4627640000002</v>
      </c>
    </row>
    <row r="229" spans="1:4" ht="12.75">
      <c r="A229" s="272" t="s">
        <v>2711</v>
      </c>
      <c r="B229" s="148" t="s">
        <v>2466</v>
      </c>
      <c r="C229" s="586">
        <f>183.16*1.1*1.1</f>
        <v>221.6236</v>
      </c>
      <c r="D229" s="149">
        <f t="shared" si="10"/>
        <v>261.515848</v>
      </c>
    </row>
    <row r="230" spans="1:4" ht="12.75">
      <c r="A230" s="272" t="s">
        <v>2712</v>
      </c>
      <c r="B230" s="148" t="s">
        <v>2467</v>
      </c>
      <c r="C230" s="586">
        <f>183.16*1.1*1.1</f>
        <v>221.6236</v>
      </c>
      <c r="D230" s="149">
        <f t="shared" si="10"/>
        <v>261.515848</v>
      </c>
    </row>
    <row r="231" spans="1:4" ht="12.75">
      <c r="A231" s="272" t="s">
        <v>2713</v>
      </c>
      <c r="B231" s="148" t="s">
        <v>2468</v>
      </c>
      <c r="C231" s="586">
        <f>318.54*1.1*1.1</f>
        <v>385.4334000000001</v>
      </c>
      <c r="D231" s="149">
        <f t="shared" si="10"/>
        <v>454.81141200000013</v>
      </c>
    </row>
    <row r="232" spans="1:4" ht="12.75">
      <c r="A232" s="272" t="s">
        <v>2714</v>
      </c>
      <c r="B232" s="148" t="s">
        <v>2469</v>
      </c>
      <c r="C232" s="586">
        <f>183.16*1.1*1.1</f>
        <v>221.6236</v>
      </c>
      <c r="D232" s="149">
        <f t="shared" si="10"/>
        <v>261.515848</v>
      </c>
    </row>
    <row r="233" spans="1:4" ht="12.75">
      <c r="A233" s="272" t="s">
        <v>2715</v>
      </c>
      <c r="B233" s="148" t="s">
        <v>608</v>
      </c>
      <c r="C233" s="586">
        <f>732.65*1.1*1.1</f>
        <v>886.5065000000002</v>
      </c>
      <c r="D233" s="149">
        <f t="shared" si="10"/>
        <v>1046.0776700000001</v>
      </c>
    </row>
    <row r="234" spans="1:4" ht="12.75">
      <c r="A234" s="272" t="s">
        <v>2716</v>
      </c>
      <c r="B234" s="148" t="s">
        <v>609</v>
      </c>
      <c r="C234" s="586">
        <f>183.16*1.1*1.1</f>
        <v>221.6236</v>
      </c>
      <c r="D234" s="149">
        <f t="shared" si="10"/>
        <v>261.515848</v>
      </c>
    </row>
    <row r="235" spans="1:4" ht="12.75">
      <c r="A235" s="272" t="s">
        <v>2717</v>
      </c>
      <c r="B235" s="148" t="s">
        <v>610</v>
      </c>
      <c r="C235" s="586">
        <f>696.81*1.1*1.1</f>
        <v>843.1401000000001</v>
      </c>
      <c r="D235" s="149">
        <f t="shared" si="10"/>
        <v>994.9053180000001</v>
      </c>
    </row>
    <row r="236" spans="1:4" ht="12.75">
      <c r="A236" s="272" t="s">
        <v>2718</v>
      </c>
      <c r="B236" s="148" t="s">
        <v>611</v>
      </c>
      <c r="C236" s="586">
        <f>199.09*1.1*1.1</f>
        <v>240.89890000000005</v>
      </c>
      <c r="D236" s="149">
        <f t="shared" si="10"/>
        <v>284.26070200000004</v>
      </c>
    </row>
    <row r="237" spans="1:4" ht="12.75">
      <c r="A237" s="272" t="s">
        <v>2719</v>
      </c>
      <c r="B237" s="148" t="s">
        <v>840</v>
      </c>
      <c r="C237" s="586">
        <f>258.81*1.1*1.1</f>
        <v>313.16010000000006</v>
      </c>
      <c r="D237" s="149">
        <f t="shared" si="10"/>
        <v>369.52891800000003</v>
      </c>
    </row>
    <row r="238" spans="1:4" s="364" customFormat="1" ht="12.75">
      <c r="A238" s="600" t="s">
        <v>2720</v>
      </c>
      <c r="B238" s="582" t="s">
        <v>1705</v>
      </c>
      <c r="C238" s="588">
        <f>191*1.83*1.1*1.1</f>
        <v>422.9313000000001</v>
      </c>
      <c r="D238" s="366">
        <f t="shared" si="10"/>
        <v>499.0589340000001</v>
      </c>
    </row>
    <row r="239" spans="1:4" ht="12.75">
      <c r="A239" s="320" t="s">
        <v>2721</v>
      </c>
      <c r="B239" s="148" t="s">
        <v>2273</v>
      </c>
      <c r="C239" s="586">
        <f>1417.67*1.1*1.1</f>
        <v>1715.3807000000004</v>
      </c>
      <c r="D239" s="149">
        <f t="shared" si="10"/>
        <v>2024.1492260000005</v>
      </c>
    </row>
    <row r="240" spans="1:4" ht="12.75">
      <c r="A240" s="621" t="s">
        <v>2721</v>
      </c>
      <c r="B240" s="768" t="s">
        <v>1651</v>
      </c>
      <c r="C240" s="586"/>
      <c r="D240" s="149"/>
    </row>
    <row r="241" spans="1:4" ht="12.75">
      <c r="A241" s="320" t="s">
        <v>3330</v>
      </c>
      <c r="B241" s="148" t="s">
        <v>1652</v>
      </c>
      <c r="C241" s="586">
        <f>99.54*1.1*1.1</f>
        <v>120.44340000000003</v>
      </c>
      <c r="D241" s="149">
        <f t="shared" si="10"/>
        <v>142.12321200000002</v>
      </c>
    </row>
    <row r="242" spans="1:4" ht="12.75">
      <c r="A242" s="320" t="s">
        <v>3331</v>
      </c>
      <c r="B242" s="148" t="s">
        <v>1653</v>
      </c>
      <c r="C242" s="586">
        <f>398.18*1.1*1.1</f>
        <v>481.7978000000001</v>
      </c>
      <c r="D242" s="149">
        <f t="shared" si="10"/>
        <v>568.5214040000001</v>
      </c>
    </row>
    <row r="243" spans="1:4" ht="12.75">
      <c r="A243" s="320" t="s">
        <v>3332</v>
      </c>
      <c r="B243" s="148" t="s">
        <v>2379</v>
      </c>
      <c r="C243" s="586">
        <f>238.91*1.1*1.1</f>
        <v>289.08110000000005</v>
      </c>
      <c r="D243" s="149">
        <f t="shared" si="10"/>
        <v>341.11569800000007</v>
      </c>
    </row>
    <row r="244" spans="1:4" ht="25.5">
      <c r="A244" s="320" t="s">
        <v>3333</v>
      </c>
      <c r="B244" s="148" t="s">
        <v>1607</v>
      </c>
      <c r="C244" s="586">
        <f>152.9*1.1*1.1</f>
        <v>185.00900000000004</v>
      </c>
      <c r="D244" s="149">
        <f t="shared" si="10"/>
        <v>218.31062000000003</v>
      </c>
    </row>
    <row r="245" spans="1:4" ht="12.75">
      <c r="A245" s="320" t="s">
        <v>3334</v>
      </c>
      <c r="B245" s="148" t="s">
        <v>1478</v>
      </c>
      <c r="C245" s="586">
        <f>637.08*1.1*1.1</f>
        <v>770.8668000000002</v>
      </c>
      <c r="D245" s="149">
        <f>C245*1.18</f>
        <v>909.6228240000003</v>
      </c>
    </row>
    <row r="246" spans="1:4" s="364" customFormat="1" ht="38.25">
      <c r="A246" s="600" t="s">
        <v>3335</v>
      </c>
      <c r="B246" s="367" t="s">
        <v>3336</v>
      </c>
      <c r="C246" s="588">
        <f>191*6*1.1*1.1</f>
        <v>1386.6600000000003</v>
      </c>
      <c r="D246" s="366">
        <f>C246*1.18</f>
        <v>1636.2588000000003</v>
      </c>
    </row>
    <row r="247" spans="1:4" s="364" customFormat="1" ht="12.75">
      <c r="A247" s="923"/>
      <c r="B247" s="367" t="s">
        <v>3337</v>
      </c>
      <c r="C247" s="588"/>
      <c r="D247" s="366"/>
    </row>
    <row r="248" spans="1:4" s="364" customFormat="1" ht="12.75">
      <c r="A248" s="924"/>
      <c r="B248" s="367" t="s">
        <v>3338</v>
      </c>
      <c r="C248" s="588">
        <f>191*2*1.1*1.1</f>
        <v>462.2200000000001</v>
      </c>
      <c r="D248" s="366">
        <f aca="true" t="shared" si="11" ref="D248:D260">C248*1.18</f>
        <v>545.4196000000001</v>
      </c>
    </row>
    <row r="249" spans="1:4" s="364" customFormat="1" ht="12.75">
      <c r="A249" s="924"/>
      <c r="B249" s="367" t="s">
        <v>3339</v>
      </c>
      <c r="C249" s="588">
        <f>191*2.5*1.1*1.1</f>
        <v>577.7750000000001</v>
      </c>
      <c r="D249" s="366">
        <f t="shared" si="11"/>
        <v>681.7745000000001</v>
      </c>
    </row>
    <row r="250" spans="1:4" s="364" customFormat="1" ht="12.75">
      <c r="A250" s="924"/>
      <c r="B250" s="367" t="s">
        <v>3340</v>
      </c>
      <c r="C250" s="588">
        <f>191*3*1.1*1.1</f>
        <v>693.3300000000002</v>
      </c>
      <c r="D250" s="366">
        <f t="shared" si="11"/>
        <v>818.1294000000001</v>
      </c>
    </row>
    <row r="251" spans="1:4" s="364" customFormat="1" ht="12.75">
      <c r="A251" s="924"/>
      <c r="B251" s="367" t="s">
        <v>3341</v>
      </c>
      <c r="C251" s="588">
        <f>191*3.5*1.1*1.1</f>
        <v>808.8850000000001</v>
      </c>
      <c r="D251" s="366">
        <f t="shared" si="11"/>
        <v>954.4843000000001</v>
      </c>
    </row>
    <row r="252" spans="1:4" s="364" customFormat="1" ht="12.75">
      <c r="A252" s="924"/>
      <c r="B252" s="367" t="s">
        <v>3342</v>
      </c>
      <c r="C252" s="588">
        <f>191*4*1.1*1.1</f>
        <v>924.4400000000002</v>
      </c>
      <c r="D252" s="366">
        <f t="shared" si="11"/>
        <v>1090.8392000000001</v>
      </c>
    </row>
    <row r="253" spans="1:4" s="364" customFormat="1" ht="12.75">
      <c r="A253" s="924"/>
      <c r="B253" s="367" t="s">
        <v>3343</v>
      </c>
      <c r="C253" s="588">
        <f>191*4.5*1.1*1.1</f>
        <v>1039.9950000000001</v>
      </c>
      <c r="D253" s="366">
        <f t="shared" si="11"/>
        <v>1227.1941000000002</v>
      </c>
    </row>
    <row r="254" spans="1:4" s="364" customFormat="1" ht="12.75">
      <c r="A254" s="924"/>
      <c r="B254" s="367" t="s">
        <v>3344</v>
      </c>
      <c r="C254" s="588">
        <f>191*5*1.1*1.1</f>
        <v>1155.5500000000002</v>
      </c>
      <c r="D254" s="366">
        <f t="shared" si="11"/>
        <v>1363.5490000000002</v>
      </c>
    </row>
    <row r="255" spans="1:4" s="364" customFormat="1" ht="12.75">
      <c r="A255" s="924"/>
      <c r="B255" s="367" t="s">
        <v>3345</v>
      </c>
      <c r="C255" s="588">
        <f>191*5.5*1.1*1.1</f>
        <v>1271.1050000000002</v>
      </c>
      <c r="D255" s="366">
        <f t="shared" si="11"/>
        <v>1499.9039000000002</v>
      </c>
    </row>
    <row r="256" spans="1:4" s="364" customFormat="1" ht="12.75">
      <c r="A256" s="925"/>
      <c r="B256" s="367" t="s">
        <v>3346</v>
      </c>
      <c r="C256" s="588">
        <f>191*6*1.1*1.1</f>
        <v>1386.6600000000003</v>
      </c>
      <c r="D256" s="366">
        <f t="shared" si="11"/>
        <v>1636.2588000000003</v>
      </c>
    </row>
    <row r="257" spans="1:4" s="364" customFormat="1" ht="25.5">
      <c r="A257" s="600" t="s">
        <v>3347</v>
      </c>
      <c r="B257" s="367" t="s">
        <v>3348</v>
      </c>
      <c r="C257" s="588">
        <f>191*3.5*1.1*1.1</f>
        <v>808.8850000000001</v>
      </c>
      <c r="D257" s="366">
        <f t="shared" si="11"/>
        <v>954.4843000000001</v>
      </c>
    </row>
    <row r="258" spans="1:4" s="364" customFormat="1" ht="12.75">
      <c r="A258" s="600" t="s">
        <v>3349</v>
      </c>
      <c r="B258" s="367" t="s">
        <v>3350</v>
      </c>
      <c r="C258" s="588">
        <f>191*2.5*1.1*1.1</f>
        <v>577.7750000000001</v>
      </c>
      <c r="D258" s="366">
        <f t="shared" si="11"/>
        <v>681.7745000000001</v>
      </c>
    </row>
    <row r="259" spans="1:4" s="364" customFormat="1" ht="12.75">
      <c r="A259" s="600" t="s">
        <v>3351</v>
      </c>
      <c r="B259" s="670" t="s">
        <v>3352</v>
      </c>
      <c r="C259" s="588">
        <f>191*2*1.1*1.1</f>
        <v>462.2200000000001</v>
      </c>
      <c r="D259" s="366">
        <f t="shared" si="11"/>
        <v>545.4196000000001</v>
      </c>
    </row>
    <row r="260" spans="1:4" s="364" customFormat="1" ht="13.5" thickBot="1">
      <c r="A260" s="600" t="s">
        <v>3353</v>
      </c>
      <c r="B260" s="671" t="s">
        <v>3354</v>
      </c>
      <c r="C260" s="769">
        <f>191*0.9*1.1*1.1</f>
        <v>207.99900000000005</v>
      </c>
      <c r="D260" s="650">
        <f t="shared" si="11"/>
        <v>245.43882000000005</v>
      </c>
    </row>
    <row r="261" spans="1:4" s="111" customFormat="1" ht="13.5" thickBot="1">
      <c r="A261" s="155" t="s">
        <v>2611</v>
      </c>
      <c r="B261" s="911" t="s">
        <v>612</v>
      </c>
      <c r="C261" s="912"/>
      <c r="D261" s="913"/>
    </row>
    <row r="262" spans="1:4" ht="12.75">
      <c r="A262" s="317" t="s">
        <v>2722</v>
      </c>
      <c r="B262" s="146" t="s">
        <v>1601</v>
      </c>
      <c r="C262" s="585">
        <f>382.25*1.1*1.1</f>
        <v>462.52250000000004</v>
      </c>
      <c r="D262" s="147">
        <f aca="true" t="shared" si="12" ref="D262:D310">C262*1.18</f>
        <v>545.77655</v>
      </c>
    </row>
    <row r="263" spans="1:4" ht="25.5">
      <c r="A263" s="272" t="s">
        <v>2723</v>
      </c>
      <c r="B263" s="148" t="s">
        <v>3412</v>
      </c>
      <c r="C263" s="586">
        <f>79.64*1.1*1.1</f>
        <v>96.36440000000002</v>
      </c>
      <c r="D263" s="149">
        <f t="shared" si="12"/>
        <v>113.70999200000001</v>
      </c>
    </row>
    <row r="264" spans="1:4" ht="12.75">
      <c r="A264" s="272" t="s">
        <v>2724</v>
      </c>
      <c r="B264" s="148" t="s">
        <v>2269</v>
      </c>
      <c r="C264" s="586">
        <f>879.18*1.1*1.1</f>
        <v>1063.8078000000003</v>
      </c>
      <c r="D264" s="149">
        <f t="shared" si="12"/>
        <v>1255.2932040000003</v>
      </c>
    </row>
    <row r="265" spans="1:4" ht="12.75">
      <c r="A265" s="272" t="s">
        <v>2725</v>
      </c>
      <c r="B265" s="148" t="s">
        <v>613</v>
      </c>
      <c r="C265" s="586">
        <f>516.04*1.1*1.1</f>
        <v>624.4084</v>
      </c>
      <c r="D265" s="149">
        <f t="shared" si="12"/>
        <v>736.801912</v>
      </c>
    </row>
    <row r="266" spans="1:4" ht="12.75">
      <c r="A266" s="272" t="s">
        <v>2726</v>
      </c>
      <c r="B266" s="148" t="s">
        <v>614</v>
      </c>
      <c r="C266" s="586">
        <f>298.63*1.1*1.1</f>
        <v>361.3423</v>
      </c>
      <c r="D266" s="149">
        <f t="shared" si="12"/>
        <v>426.383914</v>
      </c>
    </row>
    <row r="267" spans="1:4" ht="12.75">
      <c r="A267" s="272" t="s">
        <v>2727</v>
      </c>
      <c r="B267" s="148" t="s">
        <v>615</v>
      </c>
      <c r="C267" s="586">
        <f>398.18*1.1*1.1</f>
        <v>481.7978000000001</v>
      </c>
      <c r="D267" s="149">
        <f t="shared" si="12"/>
        <v>568.5214040000001</v>
      </c>
    </row>
    <row r="268" spans="1:4" ht="12.75">
      <c r="A268" s="272" t="s">
        <v>2728</v>
      </c>
      <c r="B268" s="148" t="s">
        <v>1834</v>
      </c>
      <c r="C268" s="586">
        <f>159.27*1.1*1.1</f>
        <v>192.71670000000006</v>
      </c>
      <c r="D268" s="149">
        <f t="shared" si="12"/>
        <v>227.40570600000007</v>
      </c>
    </row>
    <row r="269" spans="1:4" ht="12.75">
      <c r="A269" s="272" t="s">
        <v>2729</v>
      </c>
      <c r="B269" s="148" t="s">
        <v>616</v>
      </c>
      <c r="C269" s="586">
        <f>152.9*1.1*1.1</f>
        <v>185.00900000000004</v>
      </c>
      <c r="D269" s="149">
        <f t="shared" si="12"/>
        <v>218.31062000000003</v>
      </c>
    </row>
    <row r="270" spans="1:4" ht="12.75">
      <c r="A270" s="272" t="s">
        <v>2730</v>
      </c>
      <c r="B270" s="148" t="s">
        <v>840</v>
      </c>
      <c r="C270" s="586">
        <f>183.16*1.1*1.1</f>
        <v>221.6236</v>
      </c>
      <c r="D270" s="149">
        <f t="shared" si="12"/>
        <v>261.515848</v>
      </c>
    </row>
    <row r="271" spans="1:4" ht="12.75">
      <c r="A271" s="272" t="s">
        <v>2731</v>
      </c>
      <c r="B271" s="148" t="s">
        <v>617</v>
      </c>
      <c r="C271" s="586">
        <f>668.94*1.1*1.1</f>
        <v>809.4174000000003</v>
      </c>
      <c r="D271" s="149">
        <f t="shared" si="12"/>
        <v>955.1125320000002</v>
      </c>
    </row>
    <row r="272" spans="1:4" ht="12.75">
      <c r="A272" s="272" t="s">
        <v>2732</v>
      </c>
      <c r="B272" s="148" t="s">
        <v>2295</v>
      </c>
      <c r="C272" s="586">
        <f>248.46*1.1*1.1</f>
        <v>300.63660000000004</v>
      </c>
      <c r="D272" s="149">
        <f t="shared" si="12"/>
        <v>354.751188</v>
      </c>
    </row>
    <row r="273" spans="1:4" ht="12.75">
      <c r="A273" s="272" t="s">
        <v>2733</v>
      </c>
      <c r="B273" s="148" t="s">
        <v>2296</v>
      </c>
      <c r="C273" s="586">
        <f>248.46*1.1*1.1</f>
        <v>300.63660000000004</v>
      </c>
      <c r="D273" s="149">
        <f t="shared" si="12"/>
        <v>354.751188</v>
      </c>
    </row>
    <row r="274" spans="1:4" ht="12.75">
      <c r="A274" s="272" t="s">
        <v>2734</v>
      </c>
      <c r="B274" s="148" t="s">
        <v>2297</v>
      </c>
      <c r="C274" s="586">
        <f>248.46*1.1*1.1</f>
        <v>300.63660000000004</v>
      </c>
      <c r="D274" s="149">
        <f t="shared" si="12"/>
        <v>354.751188</v>
      </c>
    </row>
    <row r="275" spans="1:4" ht="12.75">
      <c r="A275" s="272" t="s">
        <v>2735</v>
      </c>
      <c r="B275" s="148" t="s">
        <v>2298</v>
      </c>
      <c r="C275" s="586">
        <f>286.69*1.1*1.1</f>
        <v>346.89490000000006</v>
      </c>
      <c r="D275" s="149">
        <f t="shared" si="12"/>
        <v>409.33598200000006</v>
      </c>
    </row>
    <row r="276" spans="1:4" ht="12.75">
      <c r="A276" s="272"/>
      <c r="B276" s="166" t="s">
        <v>1053</v>
      </c>
      <c r="C276" s="586">
        <f>191.13*1.1*1.1</f>
        <v>231.26730000000003</v>
      </c>
      <c r="D276" s="149">
        <f t="shared" si="12"/>
        <v>272.895414</v>
      </c>
    </row>
    <row r="277" spans="1:4" ht="12.75">
      <c r="A277" s="272"/>
      <c r="B277" s="166" t="s">
        <v>1056</v>
      </c>
      <c r="C277" s="586">
        <f>95.56*1.1*1.1</f>
        <v>115.62760000000003</v>
      </c>
      <c r="D277" s="149">
        <f t="shared" si="12"/>
        <v>136.44056800000004</v>
      </c>
    </row>
    <row r="278" spans="1:4" ht="12.75">
      <c r="A278" s="272" t="s">
        <v>2736</v>
      </c>
      <c r="B278" s="148" t="s">
        <v>1059</v>
      </c>
      <c r="C278" s="586">
        <f>298.63*1.1*1.1</f>
        <v>361.3423</v>
      </c>
      <c r="D278" s="149">
        <f t="shared" si="12"/>
        <v>426.383914</v>
      </c>
    </row>
    <row r="279" spans="1:4" ht="12.75">
      <c r="A279" s="272" t="s">
        <v>2737</v>
      </c>
      <c r="B279" s="148" t="s">
        <v>1061</v>
      </c>
      <c r="C279" s="586">
        <f>99.54*1.1*1.1</f>
        <v>120.44340000000003</v>
      </c>
      <c r="D279" s="149">
        <f t="shared" si="12"/>
        <v>142.12321200000002</v>
      </c>
    </row>
    <row r="280" spans="1:4" ht="12.75">
      <c r="A280" s="272" t="s">
        <v>2738</v>
      </c>
      <c r="B280" s="148" t="s">
        <v>1062</v>
      </c>
      <c r="C280" s="586">
        <f>199.09*1.1*1.1</f>
        <v>240.89890000000005</v>
      </c>
      <c r="D280" s="149">
        <f t="shared" si="12"/>
        <v>284.26070200000004</v>
      </c>
    </row>
    <row r="281" spans="1:4" ht="38.25">
      <c r="A281" s="272" t="s">
        <v>2739</v>
      </c>
      <c r="B281" s="150" t="s">
        <v>2505</v>
      </c>
      <c r="C281" s="586">
        <f>949.89*1.1*1.1</f>
        <v>1149.3669000000002</v>
      </c>
      <c r="D281" s="149">
        <f t="shared" si="12"/>
        <v>1356.252942</v>
      </c>
    </row>
    <row r="282" spans="1:4" ht="12.75">
      <c r="A282" s="272" t="s">
        <v>2740</v>
      </c>
      <c r="B282" s="150" t="s">
        <v>1654</v>
      </c>
      <c r="C282" s="586">
        <f>497.72*1.1*1.1</f>
        <v>602.2412000000002</v>
      </c>
      <c r="D282" s="149">
        <f t="shared" si="12"/>
        <v>710.6446160000002</v>
      </c>
    </row>
    <row r="283" spans="1:4" ht="12.75">
      <c r="A283" s="272" t="s">
        <v>2741</v>
      </c>
      <c r="B283" s="150" t="s">
        <v>1655</v>
      </c>
      <c r="C283" s="586">
        <f>298.63*1.1*1.1</f>
        <v>361.3423</v>
      </c>
      <c r="D283" s="149">
        <f t="shared" si="12"/>
        <v>426.383914</v>
      </c>
    </row>
    <row r="284" spans="1:4" ht="12.75">
      <c r="A284" s="272" t="s">
        <v>2742</v>
      </c>
      <c r="B284" s="150" t="s">
        <v>1656</v>
      </c>
      <c r="C284" s="586">
        <f>99.54*1.1*1.1</f>
        <v>120.44340000000003</v>
      </c>
      <c r="D284" s="149">
        <f t="shared" si="12"/>
        <v>142.12321200000002</v>
      </c>
    </row>
    <row r="285" spans="1:4" ht="12.75">
      <c r="A285" s="272" t="s">
        <v>2743</v>
      </c>
      <c r="B285" s="150" t="s">
        <v>1641</v>
      </c>
      <c r="C285" s="586">
        <f>99.54*1.1*1.1</f>
        <v>120.44340000000003</v>
      </c>
      <c r="D285" s="149">
        <f t="shared" si="12"/>
        <v>142.12321200000002</v>
      </c>
    </row>
    <row r="286" spans="1:4" ht="12.75">
      <c r="A286" s="272" t="s">
        <v>2744</v>
      </c>
      <c r="B286" s="150" t="s">
        <v>1657</v>
      </c>
      <c r="C286" s="586">
        <f>726.28*1.1*1.1</f>
        <v>878.7988000000001</v>
      </c>
      <c r="D286" s="86">
        <f t="shared" si="12"/>
        <v>1036.982584</v>
      </c>
    </row>
    <row r="287" spans="1:4" ht="12.75">
      <c r="A287" s="272" t="s">
        <v>2745</v>
      </c>
      <c r="B287" s="150" t="s">
        <v>1658</v>
      </c>
      <c r="C287" s="586">
        <f>99.54*1.1*1.1</f>
        <v>120.44340000000003</v>
      </c>
      <c r="D287" s="86">
        <f t="shared" si="12"/>
        <v>142.12321200000002</v>
      </c>
    </row>
    <row r="288" spans="1:4" s="364" customFormat="1" ht="12.75">
      <c r="A288" s="267" t="s">
        <v>2746</v>
      </c>
      <c r="B288" s="193" t="s">
        <v>2270</v>
      </c>
      <c r="C288" s="586">
        <f>1146.75*1.1*1.1</f>
        <v>1387.5675000000003</v>
      </c>
      <c r="D288" s="363">
        <f t="shared" si="12"/>
        <v>1637.3296500000004</v>
      </c>
    </row>
    <row r="289" spans="1:4" s="364" customFormat="1" ht="12.75">
      <c r="A289" s="267" t="s">
        <v>2747</v>
      </c>
      <c r="B289" s="192" t="s">
        <v>1608</v>
      </c>
      <c r="C289" s="586">
        <f>350.4*1.1*1.1</f>
        <v>423.98400000000004</v>
      </c>
      <c r="D289" s="363">
        <f t="shared" si="12"/>
        <v>500.30112</v>
      </c>
    </row>
    <row r="290" spans="1:4" s="364" customFormat="1" ht="12.75">
      <c r="A290" s="272" t="s">
        <v>2748</v>
      </c>
      <c r="B290" s="148" t="s">
        <v>1609</v>
      </c>
      <c r="C290" s="586">
        <f>350.4*1.1*1.1</f>
        <v>423.98400000000004</v>
      </c>
      <c r="D290" s="86">
        <f t="shared" si="12"/>
        <v>500.30112</v>
      </c>
    </row>
    <row r="291" spans="1:4" s="364" customFormat="1" ht="12.75">
      <c r="A291" s="272" t="s">
        <v>2749</v>
      </c>
      <c r="B291" s="148" t="s">
        <v>1610</v>
      </c>
      <c r="C291" s="586">
        <f>350.4*1.1*1.1</f>
        <v>423.98400000000004</v>
      </c>
      <c r="D291" s="86">
        <f t="shared" si="12"/>
        <v>500.30112</v>
      </c>
    </row>
    <row r="292" spans="1:4" s="364" customFormat="1" ht="12.75">
      <c r="A292" s="272" t="s">
        <v>2750</v>
      </c>
      <c r="B292" s="148" t="s">
        <v>1611</v>
      </c>
      <c r="C292" s="586">
        <f>998.63*1.1*1.1</f>
        <v>1208.3423000000003</v>
      </c>
      <c r="D292" s="86">
        <f t="shared" si="12"/>
        <v>1425.8439140000003</v>
      </c>
    </row>
    <row r="293" spans="1:4" s="364" customFormat="1" ht="12.75">
      <c r="A293" s="272" t="s">
        <v>2751</v>
      </c>
      <c r="B293" s="148" t="s">
        <v>1478</v>
      </c>
      <c r="C293" s="586">
        <f>637.08*1.1*1.1</f>
        <v>770.8668000000002</v>
      </c>
      <c r="D293" s="86">
        <f>C293*1.18</f>
        <v>909.6228240000003</v>
      </c>
    </row>
    <row r="294" spans="1:4" s="364" customFormat="1" ht="38.25">
      <c r="A294" s="926" t="s">
        <v>2643</v>
      </c>
      <c r="B294" s="672" t="s">
        <v>3336</v>
      </c>
      <c r="C294" s="588">
        <f>191*6*1.1*1.1</f>
        <v>1386.6600000000003</v>
      </c>
      <c r="D294" s="363">
        <f>C294*1.18</f>
        <v>1636.2588000000003</v>
      </c>
    </row>
    <row r="295" spans="1:4" s="364" customFormat="1" ht="12.75">
      <c r="A295" s="927"/>
      <c r="B295" s="672" t="s">
        <v>3337</v>
      </c>
      <c r="C295" s="588"/>
      <c r="D295" s="363">
        <f aca="true" t="shared" si="13" ref="D295:D307">C295*1.18</f>
        <v>0</v>
      </c>
    </row>
    <row r="296" spans="1:4" s="364" customFormat="1" ht="12.75">
      <c r="A296" s="362"/>
      <c r="B296" s="672" t="s">
        <v>3338</v>
      </c>
      <c r="C296" s="588">
        <f>191*2*1.1*1.1</f>
        <v>462.2200000000001</v>
      </c>
      <c r="D296" s="363">
        <f t="shared" si="13"/>
        <v>545.4196000000001</v>
      </c>
    </row>
    <row r="297" spans="1:4" s="364" customFormat="1" ht="12.75">
      <c r="A297" s="362"/>
      <c r="B297" s="672" t="s">
        <v>3339</v>
      </c>
      <c r="C297" s="588">
        <f>191*2.5*1.1*1.1</f>
        <v>577.7750000000001</v>
      </c>
      <c r="D297" s="363">
        <f t="shared" si="13"/>
        <v>681.7745000000001</v>
      </c>
    </row>
    <row r="298" spans="1:4" s="364" customFormat="1" ht="12.75">
      <c r="A298" s="362"/>
      <c r="B298" s="672" t="s">
        <v>3340</v>
      </c>
      <c r="C298" s="588">
        <f>191*3*1.1*1.1</f>
        <v>693.3300000000002</v>
      </c>
      <c r="D298" s="363">
        <f t="shared" si="13"/>
        <v>818.1294000000001</v>
      </c>
    </row>
    <row r="299" spans="1:4" s="364" customFormat="1" ht="12.75">
      <c r="A299" s="362"/>
      <c r="B299" s="672" t="s">
        <v>3341</v>
      </c>
      <c r="C299" s="588">
        <f>191*3.5*1.1*1.1</f>
        <v>808.8850000000001</v>
      </c>
      <c r="D299" s="363">
        <f t="shared" si="13"/>
        <v>954.4843000000001</v>
      </c>
    </row>
    <row r="300" spans="1:4" s="364" customFormat="1" ht="12.75">
      <c r="A300" s="362"/>
      <c r="B300" s="672" t="s">
        <v>3342</v>
      </c>
      <c r="C300" s="588">
        <f>191*4*1.1*1.1</f>
        <v>924.4400000000002</v>
      </c>
      <c r="D300" s="363">
        <f t="shared" si="13"/>
        <v>1090.8392000000001</v>
      </c>
    </row>
    <row r="301" spans="1:4" s="364" customFormat="1" ht="12.75">
      <c r="A301" s="362"/>
      <c r="B301" s="672" t="s">
        <v>3343</v>
      </c>
      <c r="C301" s="588">
        <f>191*4.5*1.1*1.1</f>
        <v>1039.9950000000001</v>
      </c>
      <c r="D301" s="363">
        <f t="shared" si="13"/>
        <v>1227.1941000000002</v>
      </c>
    </row>
    <row r="302" spans="1:4" s="364" customFormat="1" ht="12.75">
      <c r="A302" s="362"/>
      <c r="B302" s="672" t="s">
        <v>3344</v>
      </c>
      <c r="C302" s="588">
        <f>191*5*1.1*1.1</f>
        <v>1155.5500000000002</v>
      </c>
      <c r="D302" s="363">
        <f t="shared" si="13"/>
        <v>1363.5490000000002</v>
      </c>
    </row>
    <row r="303" spans="1:4" s="364" customFormat="1" ht="12.75">
      <c r="A303" s="362"/>
      <c r="B303" s="672" t="s">
        <v>3345</v>
      </c>
      <c r="C303" s="588">
        <f>191*5.5*1.1*1.1</f>
        <v>1271.1050000000002</v>
      </c>
      <c r="D303" s="363">
        <f t="shared" si="13"/>
        <v>1499.9039000000002</v>
      </c>
    </row>
    <row r="304" spans="1:4" s="364" customFormat="1" ht="12.75">
      <c r="A304" s="362"/>
      <c r="B304" s="672" t="s">
        <v>3346</v>
      </c>
      <c r="C304" s="588">
        <f>191*6*1.1*1.1</f>
        <v>1386.6600000000003</v>
      </c>
      <c r="D304" s="363">
        <f t="shared" si="13"/>
        <v>1636.2588000000003</v>
      </c>
    </row>
    <row r="305" spans="1:4" s="364" customFormat="1" ht="25.5">
      <c r="A305" s="595" t="s">
        <v>2644</v>
      </c>
      <c r="B305" s="367" t="s">
        <v>3348</v>
      </c>
      <c r="C305" s="588">
        <f>191*3.5*1.1*1.1</f>
        <v>808.8850000000001</v>
      </c>
      <c r="D305" s="363">
        <f t="shared" si="13"/>
        <v>954.4843000000001</v>
      </c>
    </row>
    <row r="306" spans="1:4" s="364" customFormat="1" ht="12.75">
      <c r="A306" s="595" t="s">
        <v>2645</v>
      </c>
      <c r="B306" s="367" t="s">
        <v>3350</v>
      </c>
      <c r="C306" s="588">
        <f>191*2.5*1.1*1.1</f>
        <v>577.7750000000001</v>
      </c>
      <c r="D306" s="363">
        <f t="shared" si="13"/>
        <v>681.7745000000001</v>
      </c>
    </row>
    <row r="307" spans="1:4" s="364" customFormat="1" ht="12.75">
      <c r="A307" s="595" t="s">
        <v>3355</v>
      </c>
      <c r="B307" s="670" t="s">
        <v>3352</v>
      </c>
      <c r="C307" s="588">
        <f>191*2*1.1*1.1</f>
        <v>462.2200000000001</v>
      </c>
      <c r="D307" s="363">
        <f t="shared" si="13"/>
        <v>545.4196000000001</v>
      </c>
    </row>
    <row r="308" spans="1:4" ht="12.75">
      <c r="A308" s="571" t="s">
        <v>3356</v>
      </c>
      <c r="B308" s="148" t="s">
        <v>2640</v>
      </c>
      <c r="C308" s="586">
        <f>191.13*1.1*1.1</f>
        <v>231.26730000000003</v>
      </c>
      <c r="D308" s="86">
        <f t="shared" si="12"/>
        <v>272.895414</v>
      </c>
    </row>
    <row r="309" spans="1:4" ht="12.75">
      <c r="A309" s="571" t="s">
        <v>3357</v>
      </c>
      <c r="B309" s="148" t="s">
        <v>2641</v>
      </c>
      <c r="C309" s="586">
        <f>382.25*1.1*1.1</f>
        <v>462.52250000000004</v>
      </c>
      <c r="D309" s="149">
        <f>C309*1.18</f>
        <v>545.77655</v>
      </c>
    </row>
    <row r="310" spans="1:4" ht="15" customHeight="1" thickBot="1">
      <c r="A310" s="577" t="s">
        <v>3358</v>
      </c>
      <c r="B310" s="257" t="s">
        <v>2642</v>
      </c>
      <c r="C310" s="592">
        <f>152.9*1.1*1.1</f>
        <v>185.00900000000004</v>
      </c>
      <c r="D310" s="256">
        <f t="shared" si="12"/>
        <v>218.31062000000003</v>
      </c>
    </row>
    <row r="311" spans="1:4" s="111" customFormat="1" ht="13.5" thickBot="1">
      <c r="A311" s="155" t="s">
        <v>2612</v>
      </c>
      <c r="B311" s="928" t="s">
        <v>2506</v>
      </c>
      <c r="C311" s="912"/>
      <c r="D311" s="929"/>
    </row>
    <row r="312" spans="1:4" ht="12.75">
      <c r="A312" s="156" t="s">
        <v>2752</v>
      </c>
      <c r="B312" s="146" t="s">
        <v>2507</v>
      </c>
      <c r="C312" s="585">
        <f>382.25*1.1*1.1</f>
        <v>462.52250000000004</v>
      </c>
      <c r="D312" s="147">
        <f aca="true" t="shared" si="14" ref="D312:D369">C312*1.18</f>
        <v>545.77655</v>
      </c>
    </row>
    <row r="313" spans="1:4" ht="12.75">
      <c r="A313" s="157" t="s">
        <v>2753</v>
      </c>
      <c r="B313" s="148" t="s">
        <v>2510</v>
      </c>
      <c r="C313" s="586">
        <f>879.18*1.1*1.1</f>
        <v>1063.8078000000003</v>
      </c>
      <c r="D313" s="149">
        <f t="shared" si="14"/>
        <v>1255.2932040000003</v>
      </c>
    </row>
    <row r="314" spans="1:4" ht="12.75">
      <c r="A314" s="157" t="s">
        <v>2754</v>
      </c>
      <c r="B314" s="148" t="s">
        <v>2275</v>
      </c>
      <c r="C314" s="586">
        <f>99.54*1.1*1.1</f>
        <v>120.44340000000003</v>
      </c>
      <c r="D314" s="149">
        <f t="shared" si="14"/>
        <v>142.12321200000002</v>
      </c>
    </row>
    <row r="315" spans="1:4" ht="12.75">
      <c r="A315" s="157" t="s">
        <v>2755</v>
      </c>
      <c r="B315" s="148" t="s">
        <v>2511</v>
      </c>
      <c r="C315" s="586">
        <f>199.09*1.1*1.1</f>
        <v>240.89890000000005</v>
      </c>
      <c r="D315" s="149">
        <f t="shared" si="14"/>
        <v>284.26070200000004</v>
      </c>
    </row>
    <row r="316" spans="1:4" ht="12.75">
      <c r="A316" s="157" t="s">
        <v>2756</v>
      </c>
      <c r="B316" s="148" t="s">
        <v>2512</v>
      </c>
      <c r="C316" s="586">
        <f>79.64*1.1*1.1</f>
        <v>96.36440000000002</v>
      </c>
      <c r="D316" s="149">
        <f t="shared" si="14"/>
        <v>113.70999200000001</v>
      </c>
    </row>
    <row r="317" spans="1:4" ht="12.75">
      <c r="A317" s="157" t="s">
        <v>2757</v>
      </c>
      <c r="B317" s="148" t="s">
        <v>2592</v>
      </c>
      <c r="C317" s="586">
        <f>179.18*1.1*1.1</f>
        <v>216.80780000000004</v>
      </c>
      <c r="D317" s="149">
        <f t="shared" si="14"/>
        <v>255.83320400000002</v>
      </c>
    </row>
    <row r="318" spans="1:4" ht="12.75">
      <c r="A318" s="157" t="s">
        <v>2758</v>
      </c>
      <c r="B318" s="148" t="s">
        <v>1612</v>
      </c>
      <c r="C318" s="586">
        <f>159.27*1.1*1.1</f>
        <v>192.71670000000006</v>
      </c>
      <c r="D318" s="149">
        <f t="shared" si="14"/>
        <v>227.40570600000007</v>
      </c>
    </row>
    <row r="319" spans="1:4" ht="12.75">
      <c r="A319" s="157" t="s">
        <v>2759</v>
      </c>
      <c r="B319" s="578" t="s">
        <v>2763</v>
      </c>
      <c r="C319" s="593"/>
      <c r="D319" s="770"/>
    </row>
    <row r="320" spans="1:4" ht="12.75">
      <c r="A320" s="157" t="s">
        <v>2760</v>
      </c>
      <c r="B320" s="148" t="s">
        <v>1480</v>
      </c>
      <c r="C320" s="586">
        <f>334.47*1.1*1.1</f>
        <v>404.70870000000014</v>
      </c>
      <c r="D320" s="149">
        <f>C320*1.18</f>
        <v>477.5562660000001</v>
      </c>
    </row>
    <row r="321" spans="1:4" s="364" customFormat="1" ht="12.75">
      <c r="A321" s="365" t="s">
        <v>2761</v>
      </c>
      <c r="B321" s="367" t="s">
        <v>1481</v>
      </c>
      <c r="C321" s="588">
        <f>2*191*1.1*1.1</f>
        <v>462.2200000000001</v>
      </c>
      <c r="D321" s="366">
        <f>C321*1.18</f>
        <v>545.4196000000001</v>
      </c>
    </row>
    <row r="322" spans="1:4" ht="12.75">
      <c r="A322" s="157" t="s">
        <v>2762</v>
      </c>
      <c r="B322" s="148" t="s">
        <v>2273</v>
      </c>
      <c r="C322" s="586">
        <f>1356.03*1.1*1.1</f>
        <v>1640.7963000000002</v>
      </c>
      <c r="D322" s="149">
        <f>C322*1.18</f>
        <v>1936.1396340000001</v>
      </c>
    </row>
    <row r="323" spans="1:4" ht="13.5" thickBot="1">
      <c r="A323" s="162" t="s">
        <v>2646</v>
      </c>
      <c r="B323" s="257" t="s">
        <v>1636</v>
      </c>
      <c r="C323" s="587">
        <f>199.09*1.1*1.1</f>
        <v>240.89890000000005</v>
      </c>
      <c r="D323" s="256">
        <f>C323*1.18</f>
        <v>284.26070200000004</v>
      </c>
    </row>
    <row r="324" spans="1:4" s="111" customFormat="1" ht="15" customHeight="1" thickBot="1">
      <c r="A324" s="306" t="s">
        <v>2613</v>
      </c>
      <c r="B324" s="928" t="s">
        <v>2373</v>
      </c>
      <c r="C324" s="930"/>
      <c r="D324" s="929"/>
    </row>
    <row r="325" spans="1:4" ht="12.75">
      <c r="A325" s="156" t="s">
        <v>2764</v>
      </c>
      <c r="B325" s="146" t="s">
        <v>2374</v>
      </c>
      <c r="C325" s="585">
        <f>199.09*1.1*1.1</f>
        <v>240.89890000000005</v>
      </c>
      <c r="D325" s="147">
        <f t="shared" si="14"/>
        <v>284.26070200000004</v>
      </c>
    </row>
    <row r="326" spans="1:4" ht="12.75">
      <c r="A326" s="157" t="s">
        <v>2765</v>
      </c>
      <c r="B326" s="148" t="s">
        <v>2379</v>
      </c>
      <c r="C326" s="586">
        <f>286.69*1.1*1.1</f>
        <v>346.89490000000006</v>
      </c>
      <c r="D326" s="149">
        <f t="shared" si="14"/>
        <v>409.33598200000006</v>
      </c>
    </row>
    <row r="327" spans="1:4" ht="12.75">
      <c r="A327" s="157" t="s">
        <v>2766</v>
      </c>
      <c r="B327" s="148" t="s">
        <v>630</v>
      </c>
      <c r="C327" s="586">
        <f>99.54*1.1*1.1</f>
        <v>120.44340000000003</v>
      </c>
      <c r="D327" s="149">
        <f t="shared" si="14"/>
        <v>142.12321200000002</v>
      </c>
    </row>
    <row r="328" spans="1:4" ht="12.75">
      <c r="A328" s="157" t="s">
        <v>2767</v>
      </c>
      <c r="B328" s="148" t="s">
        <v>2275</v>
      </c>
      <c r="C328" s="586">
        <f>207.05*1.1*1.1</f>
        <v>250.53050000000005</v>
      </c>
      <c r="D328" s="149">
        <f t="shared" si="14"/>
        <v>295.62599000000006</v>
      </c>
    </row>
    <row r="329" spans="1:4" ht="12.75">
      <c r="A329" s="157" t="s">
        <v>2768</v>
      </c>
      <c r="B329" s="148" t="s">
        <v>1636</v>
      </c>
      <c r="C329" s="586">
        <f>139.36*1.1*1.1</f>
        <v>168.62560000000005</v>
      </c>
      <c r="D329" s="149">
        <f t="shared" si="14"/>
        <v>198.97820800000005</v>
      </c>
    </row>
    <row r="330" spans="1:4" ht="12.75">
      <c r="A330" s="157" t="s">
        <v>2769</v>
      </c>
      <c r="B330" s="148" t="s">
        <v>2380</v>
      </c>
      <c r="C330" s="586">
        <f>39.82*1.1*1.1</f>
        <v>48.18220000000001</v>
      </c>
      <c r="D330" s="149">
        <f t="shared" si="14"/>
        <v>56.85499600000001</v>
      </c>
    </row>
    <row r="331" spans="1:4" ht="12.75">
      <c r="A331" s="157" t="s">
        <v>2770</v>
      </c>
      <c r="B331" s="148" t="s">
        <v>2383</v>
      </c>
      <c r="C331" s="586">
        <f>305.8*1.1*1.1</f>
        <v>370.0180000000001</v>
      </c>
      <c r="D331" s="149">
        <f t="shared" si="14"/>
        <v>436.62124000000006</v>
      </c>
    </row>
    <row r="332" spans="1:4" ht="12.75">
      <c r="A332" s="157" t="s">
        <v>2771</v>
      </c>
      <c r="B332" s="164" t="s">
        <v>840</v>
      </c>
      <c r="C332" s="586">
        <f>824.24*1.1*1.1</f>
        <v>997.3304000000002</v>
      </c>
      <c r="D332" s="149">
        <f t="shared" si="14"/>
        <v>1176.8498720000002</v>
      </c>
    </row>
    <row r="333" spans="1:4" ht="12.75">
      <c r="A333" s="157" t="s">
        <v>2772</v>
      </c>
      <c r="B333" s="148" t="s">
        <v>2386</v>
      </c>
      <c r="C333" s="586">
        <f>1194.53*1.1*1.1</f>
        <v>1445.3813000000002</v>
      </c>
      <c r="D333" s="149">
        <f t="shared" si="14"/>
        <v>1705.5499340000001</v>
      </c>
    </row>
    <row r="334" spans="1:4" ht="12.75">
      <c r="A334" s="157" t="s">
        <v>2773</v>
      </c>
      <c r="B334" s="148" t="s">
        <v>1047</v>
      </c>
      <c r="C334" s="586">
        <f>1035.26*1.1*1.1</f>
        <v>1252.6646</v>
      </c>
      <c r="D334" s="149">
        <f t="shared" si="14"/>
        <v>1478.1442279999999</v>
      </c>
    </row>
    <row r="335" spans="1:4" ht="12.75">
      <c r="A335" s="157" t="s">
        <v>2774</v>
      </c>
      <c r="B335" s="148" t="s">
        <v>2387</v>
      </c>
      <c r="C335" s="586">
        <f>716.72*1.1*1.1</f>
        <v>867.2312000000002</v>
      </c>
      <c r="D335" s="149">
        <f t="shared" si="14"/>
        <v>1023.3328160000001</v>
      </c>
    </row>
    <row r="336" spans="1:4" ht="12.75">
      <c r="A336" s="157" t="s">
        <v>2775</v>
      </c>
      <c r="B336" s="148" t="s">
        <v>1838</v>
      </c>
      <c r="C336" s="586">
        <f>398.18*1.1*1.1</f>
        <v>481.7978000000001</v>
      </c>
      <c r="D336" s="149">
        <f t="shared" si="14"/>
        <v>568.5214040000001</v>
      </c>
    </row>
    <row r="337" spans="1:4" ht="12.75">
      <c r="A337" s="157" t="s">
        <v>2776</v>
      </c>
      <c r="B337" s="148" t="s">
        <v>2273</v>
      </c>
      <c r="C337" s="586">
        <f>1540.95*1.1*1.1</f>
        <v>1864.5495000000005</v>
      </c>
      <c r="D337" s="149">
        <f t="shared" si="14"/>
        <v>2200.1684100000007</v>
      </c>
    </row>
    <row r="338" spans="1:4" ht="13.5" thickBot="1">
      <c r="A338" s="163" t="s">
        <v>2777</v>
      </c>
      <c r="B338" s="165" t="s">
        <v>827</v>
      </c>
      <c r="C338" s="587">
        <f>159.27*1.1*1.1</f>
        <v>192.71670000000006</v>
      </c>
      <c r="D338" s="152">
        <f t="shared" si="14"/>
        <v>227.40570600000007</v>
      </c>
    </row>
    <row r="339" spans="1:4" s="111" customFormat="1" ht="13.5" thickBot="1">
      <c r="A339" s="307" t="s">
        <v>2614</v>
      </c>
      <c r="B339" s="911" t="s">
        <v>2390</v>
      </c>
      <c r="C339" s="912"/>
      <c r="D339" s="913"/>
    </row>
    <row r="340" spans="1:4" ht="12.75">
      <c r="A340" s="167" t="s">
        <v>2778</v>
      </c>
      <c r="B340" s="146" t="s">
        <v>2391</v>
      </c>
      <c r="C340" s="585">
        <f>497.72*1.1*1.1</f>
        <v>602.2412000000002</v>
      </c>
      <c r="D340" s="147">
        <f t="shared" si="14"/>
        <v>710.6446160000002</v>
      </c>
    </row>
    <row r="341" spans="1:4" ht="12.75">
      <c r="A341" s="158" t="s">
        <v>2779</v>
      </c>
      <c r="B341" s="148" t="s">
        <v>2380</v>
      </c>
      <c r="C341" s="586">
        <f>179.18*1.1*1.1</f>
        <v>216.80780000000004</v>
      </c>
      <c r="D341" s="149">
        <f t="shared" si="14"/>
        <v>255.83320400000002</v>
      </c>
    </row>
    <row r="342" spans="1:4" ht="12.75">
      <c r="A342" s="158" t="s">
        <v>2780</v>
      </c>
      <c r="B342" s="148" t="s">
        <v>2394</v>
      </c>
      <c r="C342" s="586">
        <f>99.54*1.1*1.1</f>
        <v>120.44340000000003</v>
      </c>
      <c r="D342" s="149">
        <f t="shared" si="14"/>
        <v>142.12321200000002</v>
      </c>
    </row>
    <row r="343" spans="1:4" ht="12.75">
      <c r="A343" s="158" t="s">
        <v>2781</v>
      </c>
      <c r="B343" s="148" t="s">
        <v>1082</v>
      </c>
      <c r="C343" s="586">
        <f>191.13*1.1*1.1</f>
        <v>231.26730000000003</v>
      </c>
      <c r="D343" s="149">
        <f t="shared" si="14"/>
        <v>272.895414</v>
      </c>
    </row>
    <row r="344" spans="1:4" ht="12.75">
      <c r="A344" s="158" t="s">
        <v>2782</v>
      </c>
      <c r="B344" s="148" t="s">
        <v>1636</v>
      </c>
      <c r="C344" s="586">
        <f>159.27*1.1*1.1</f>
        <v>192.71670000000006</v>
      </c>
      <c r="D344" s="149">
        <f t="shared" si="14"/>
        <v>227.40570600000007</v>
      </c>
    </row>
    <row r="345" spans="1:4" ht="12.75">
      <c r="A345" s="158" t="s">
        <v>2783</v>
      </c>
      <c r="B345" s="148" t="s">
        <v>2395</v>
      </c>
      <c r="C345" s="586">
        <f>79.64*1.1*1.1</f>
        <v>96.36440000000002</v>
      </c>
      <c r="D345" s="149">
        <f t="shared" si="14"/>
        <v>113.70999200000001</v>
      </c>
    </row>
    <row r="346" spans="1:4" ht="12.75">
      <c r="A346" s="158" t="s">
        <v>2784</v>
      </c>
      <c r="B346" s="148" t="s">
        <v>1047</v>
      </c>
      <c r="C346" s="586">
        <f>911.03*1.1*1.1</f>
        <v>1102.3463000000002</v>
      </c>
      <c r="D346" s="149">
        <f t="shared" si="14"/>
        <v>1300.768634</v>
      </c>
    </row>
    <row r="347" spans="1:4" ht="12.75">
      <c r="A347" s="158" t="s">
        <v>2785</v>
      </c>
      <c r="B347" s="148" t="s">
        <v>854</v>
      </c>
      <c r="C347" s="586">
        <f>860.06*1.1*1.1</f>
        <v>1040.6726</v>
      </c>
      <c r="D347" s="149">
        <f t="shared" si="14"/>
        <v>1227.993668</v>
      </c>
    </row>
    <row r="348" spans="1:4" ht="12.75">
      <c r="A348" s="158" t="s">
        <v>2786</v>
      </c>
      <c r="B348" s="148" t="s">
        <v>2379</v>
      </c>
      <c r="C348" s="586">
        <f>286.69*1.1*1.1</f>
        <v>346.89490000000006</v>
      </c>
      <c r="D348" s="149">
        <f t="shared" si="14"/>
        <v>409.33598200000006</v>
      </c>
    </row>
    <row r="349" spans="1:4" ht="12.75">
      <c r="A349" s="158" t="s">
        <v>2787</v>
      </c>
      <c r="B349" s="148" t="s">
        <v>1833</v>
      </c>
      <c r="C349" s="586">
        <f>358.36*1.1*1.1</f>
        <v>433.6156000000001</v>
      </c>
      <c r="D349" s="149">
        <f t="shared" si="14"/>
        <v>511.66640800000005</v>
      </c>
    </row>
    <row r="350" spans="1:4" ht="12.75">
      <c r="A350" s="158" t="s">
        <v>2788</v>
      </c>
      <c r="B350" s="148" t="s">
        <v>1049</v>
      </c>
      <c r="C350" s="586">
        <f>955.63*1.1*1.1</f>
        <v>1156.3123</v>
      </c>
      <c r="D350" s="149">
        <f t="shared" si="14"/>
        <v>1364.448514</v>
      </c>
    </row>
    <row r="351" spans="1:4" ht="12.75">
      <c r="A351" s="158" t="s">
        <v>2789</v>
      </c>
      <c r="B351" s="148" t="s">
        <v>2273</v>
      </c>
      <c r="C351" s="586">
        <f>1356.03*1.1*1.1</f>
        <v>1640.7963000000002</v>
      </c>
      <c r="D351" s="149">
        <f t="shared" si="14"/>
        <v>1936.1396340000001</v>
      </c>
    </row>
    <row r="352" spans="1:4" ht="12.75">
      <c r="A352" s="158" t="s">
        <v>2790</v>
      </c>
      <c r="B352" s="150" t="s">
        <v>1659</v>
      </c>
      <c r="C352" s="586">
        <f>99.54*1.1*1.1</f>
        <v>120.44340000000003</v>
      </c>
      <c r="D352" s="149">
        <f t="shared" si="14"/>
        <v>142.12321200000002</v>
      </c>
    </row>
    <row r="353" spans="1:4" ht="12.75">
      <c r="A353" s="158" t="s">
        <v>2791</v>
      </c>
      <c r="B353" s="150" t="s">
        <v>1660</v>
      </c>
      <c r="C353" s="586">
        <f>159.27*1.1*1.1</f>
        <v>192.71670000000006</v>
      </c>
      <c r="D353" s="149">
        <f t="shared" si="14"/>
        <v>227.40570600000007</v>
      </c>
    </row>
    <row r="354" spans="1:4" ht="12.75">
      <c r="A354" s="158" t="s">
        <v>2792</v>
      </c>
      <c r="B354" s="150" t="s">
        <v>1951</v>
      </c>
      <c r="C354" s="586">
        <f>199.09*1.1*1.1</f>
        <v>240.89890000000005</v>
      </c>
      <c r="D354" s="149">
        <f t="shared" si="14"/>
        <v>284.26070200000004</v>
      </c>
    </row>
    <row r="355" spans="1:4" ht="12.75">
      <c r="A355" s="158" t="s">
        <v>2793</v>
      </c>
      <c r="B355" s="150" t="s">
        <v>1543</v>
      </c>
      <c r="C355" s="586">
        <f>764.5*1.1*1.1</f>
        <v>925.0450000000001</v>
      </c>
      <c r="D355" s="149">
        <f t="shared" si="14"/>
        <v>1091.5531</v>
      </c>
    </row>
    <row r="356" spans="1:4" ht="13.5" thickBot="1">
      <c r="A356" s="159" t="s">
        <v>2794</v>
      </c>
      <c r="B356" s="165" t="s">
        <v>1544</v>
      </c>
      <c r="C356" s="587">
        <f>764.5*1.1*1.1</f>
        <v>925.0450000000001</v>
      </c>
      <c r="D356" s="152">
        <f t="shared" si="14"/>
        <v>1091.5531</v>
      </c>
    </row>
    <row r="357" spans="1:4" s="111" customFormat="1" ht="13.5" thickBot="1">
      <c r="A357" s="307" t="s">
        <v>2190</v>
      </c>
      <c r="B357" s="911" t="s">
        <v>2398</v>
      </c>
      <c r="C357" s="912"/>
      <c r="D357" s="913"/>
    </row>
    <row r="358" spans="1:4" ht="12.75">
      <c r="A358" s="167" t="s">
        <v>2795</v>
      </c>
      <c r="B358" s="146" t="s">
        <v>1682</v>
      </c>
      <c r="C358" s="585">
        <f>298.63*1.1*1.1</f>
        <v>361.3423</v>
      </c>
      <c r="D358" s="147">
        <f t="shared" si="14"/>
        <v>426.383914</v>
      </c>
    </row>
    <row r="359" spans="1:4" ht="12.75">
      <c r="A359" s="158" t="s">
        <v>2796</v>
      </c>
      <c r="B359" s="148" t="s">
        <v>1683</v>
      </c>
      <c r="C359" s="586">
        <f>597.27*1.1*1.1</f>
        <v>722.6967000000002</v>
      </c>
      <c r="D359" s="149">
        <f t="shared" si="14"/>
        <v>852.7821060000002</v>
      </c>
    </row>
    <row r="360" spans="1:4" ht="12.75">
      <c r="A360" s="158" t="s">
        <v>2797</v>
      </c>
      <c r="B360" s="148" t="s">
        <v>1833</v>
      </c>
      <c r="C360" s="586">
        <f>298.63*1.1*1.1</f>
        <v>361.3423</v>
      </c>
      <c r="D360" s="149">
        <f t="shared" si="14"/>
        <v>426.383914</v>
      </c>
    </row>
    <row r="361" spans="1:4" ht="12.75">
      <c r="A361" s="158" t="s">
        <v>2798</v>
      </c>
      <c r="B361" s="148" t="s">
        <v>1686</v>
      </c>
      <c r="C361" s="586">
        <f>879.18*1.1*1.1</f>
        <v>1063.8078000000003</v>
      </c>
      <c r="D361" s="149">
        <f t="shared" si="14"/>
        <v>1255.2932040000003</v>
      </c>
    </row>
    <row r="362" spans="1:4" ht="12.75">
      <c r="A362" s="158" t="s">
        <v>2799</v>
      </c>
      <c r="B362" s="148" t="s">
        <v>1687</v>
      </c>
      <c r="C362" s="586">
        <f>879.18*1.1*1.1</f>
        <v>1063.8078000000003</v>
      </c>
      <c r="D362" s="149">
        <f t="shared" si="14"/>
        <v>1255.2932040000003</v>
      </c>
    </row>
    <row r="363" spans="1:4" ht="12.75">
      <c r="A363" s="158" t="s">
        <v>2800</v>
      </c>
      <c r="B363" s="148" t="s">
        <v>1688</v>
      </c>
      <c r="C363" s="586">
        <f>159.27*1.1*1.1</f>
        <v>192.71670000000006</v>
      </c>
      <c r="D363" s="149">
        <f t="shared" si="14"/>
        <v>227.40570600000007</v>
      </c>
    </row>
    <row r="364" spans="1:4" ht="12.75">
      <c r="A364" s="158" t="s">
        <v>2801</v>
      </c>
      <c r="B364" s="148" t="s">
        <v>1689</v>
      </c>
      <c r="C364" s="586">
        <f>477.81*1.1*1.1</f>
        <v>578.1501000000001</v>
      </c>
      <c r="D364" s="149">
        <f t="shared" si="14"/>
        <v>682.217118</v>
      </c>
    </row>
    <row r="365" spans="1:4" ht="12.75">
      <c r="A365" s="158" t="s">
        <v>2802</v>
      </c>
      <c r="B365" s="148" t="s">
        <v>1690</v>
      </c>
      <c r="C365" s="586">
        <f>477.81*1.1*1.1</f>
        <v>578.1501000000001</v>
      </c>
      <c r="D365" s="149">
        <f t="shared" si="14"/>
        <v>682.217118</v>
      </c>
    </row>
    <row r="366" spans="1:4" ht="12.75">
      <c r="A366" s="158" t="s">
        <v>2803</v>
      </c>
      <c r="B366" s="148" t="s">
        <v>1691</v>
      </c>
      <c r="C366" s="586">
        <f>516.04*1.1*1.1</f>
        <v>624.4084</v>
      </c>
      <c r="D366" s="149">
        <f t="shared" si="14"/>
        <v>736.801912</v>
      </c>
    </row>
    <row r="367" spans="1:4" ht="12.75">
      <c r="A367" s="158" t="s">
        <v>2804</v>
      </c>
      <c r="B367" s="148" t="s">
        <v>1689</v>
      </c>
      <c r="C367" s="586">
        <f>420.48*1.1*1.1</f>
        <v>508.7808000000001</v>
      </c>
      <c r="D367" s="149">
        <f t="shared" si="14"/>
        <v>600.3613440000001</v>
      </c>
    </row>
    <row r="368" spans="1:4" ht="12.75">
      <c r="A368" s="158" t="s">
        <v>2805</v>
      </c>
      <c r="B368" s="148" t="s">
        <v>1694</v>
      </c>
      <c r="C368" s="586">
        <f>324.91*1.1*1.1</f>
        <v>393.1411000000001</v>
      </c>
      <c r="D368" s="149">
        <f t="shared" si="14"/>
        <v>463.9064980000001</v>
      </c>
    </row>
    <row r="369" spans="1:4" ht="13.5" thickBot="1">
      <c r="A369" s="159" t="s">
        <v>2806</v>
      </c>
      <c r="B369" s="151" t="s">
        <v>1696</v>
      </c>
      <c r="C369" s="587">
        <f>398.18*1.1*1.1</f>
        <v>481.7978000000001</v>
      </c>
      <c r="D369" s="152">
        <f t="shared" si="14"/>
        <v>568.5214040000001</v>
      </c>
    </row>
    <row r="370" spans="1:4" s="111" customFormat="1" ht="13.5" thickBot="1">
      <c r="A370" s="307" t="s">
        <v>2191</v>
      </c>
      <c r="B370" s="937" t="s">
        <v>1697</v>
      </c>
      <c r="C370" s="912"/>
      <c r="D370" s="938"/>
    </row>
    <row r="371" spans="1:4" ht="12.75">
      <c r="A371" s="167" t="s">
        <v>2807</v>
      </c>
      <c r="B371" s="146" t="s">
        <v>1636</v>
      </c>
      <c r="C371" s="586">
        <f>139.36*1.1*1.1</f>
        <v>168.62560000000005</v>
      </c>
      <c r="D371" s="147">
        <f aca="true" t="shared" si="15" ref="D371:D438">C371*1.18</f>
        <v>198.97820800000005</v>
      </c>
    </row>
    <row r="372" spans="1:4" ht="12.75">
      <c r="A372" s="158" t="s">
        <v>2808</v>
      </c>
      <c r="B372" s="148" t="s">
        <v>1082</v>
      </c>
      <c r="C372" s="586">
        <f>191.13*1.1*1.1</f>
        <v>231.26730000000003</v>
      </c>
      <c r="D372" s="149">
        <f t="shared" si="15"/>
        <v>272.895414</v>
      </c>
    </row>
    <row r="373" spans="1:4" ht="12.75">
      <c r="A373" s="158" t="s">
        <v>2809</v>
      </c>
      <c r="B373" s="148" t="s">
        <v>1698</v>
      </c>
      <c r="C373" s="586">
        <f>159.27*1.1*1.1</f>
        <v>192.71670000000006</v>
      </c>
      <c r="D373" s="149">
        <f t="shared" si="15"/>
        <v>227.40570600000007</v>
      </c>
    </row>
    <row r="374" spans="1:4" ht="12.75">
      <c r="A374" s="158" t="s">
        <v>2810</v>
      </c>
      <c r="B374" s="148" t="s">
        <v>1047</v>
      </c>
      <c r="C374" s="586">
        <f>911.03*1.1*1.1</f>
        <v>1102.3463000000002</v>
      </c>
      <c r="D374" s="149">
        <f t="shared" si="15"/>
        <v>1300.768634</v>
      </c>
    </row>
    <row r="375" spans="1:4" ht="12.75">
      <c r="A375" s="158" t="s">
        <v>2811</v>
      </c>
      <c r="B375" s="148" t="s">
        <v>2386</v>
      </c>
      <c r="C375" s="586">
        <f>1098.97*1.1*1.1</f>
        <v>1329.7537000000002</v>
      </c>
      <c r="D375" s="149">
        <f t="shared" si="15"/>
        <v>1569.1093660000001</v>
      </c>
    </row>
    <row r="376" spans="1:4" ht="13.5" thickBot="1">
      <c r="A376" s="159" t="s">
        <v>2812</v>
      </c>
      <c r="B376" s="151" t="s">
        <v>2273</v>
      </c>
      <c r="C376" s="586">
        <f>1356.03*1.1*1.1</f>
        <v>1640.7963000000002</v>
      </c>
      <c r="D376" s="152">
        <f t="shared" si="15"/>
        <v>1936.1396340000001</v>
      </c>
    </row>
    <row r="377" spans="1:4" s="111" customFormat="1" ht="13.5" thickBot="1">
      <c r="A377" s="308" t="s">
        <v>2192</v>
      </c>
      <c r="B377" s="939" t="s">
        <v>1699</v>
      </c>
      <c r="C377" s="912"/>
      <c r="D377" s="922"/>
    </row>
    <row r="378" spans="1:4" ht="12.75">
      <c r="A378" s="167" t="s">
        <v>2813</v>
      </c>
      <c r="B378" s="146" t="s">
        <v>2275</v>
      </c>
      <c r="C378" s="586">
        <f>298.63*1.1*1.1</f>
        <v>361.3423</v>
      </c>
      <c r="D378" s="147">
        <f t="shared" si="15"/>
        <v>426.383914</v>
      </c>
    </row>
    <row r="379" spans="1:4" ht="12.75">
      <c r="A379" s="158" t="s">
        <v>2814</v>
      </c>
      <c r="B379" s="148" t="s">
        <v>1700</v>
      </c>
      <c r="C379" s="586">
        <f>363.14*1.1*1.1</f>
        <v>439.39940000000007</v>
      </c>
      <c r="D379" s="149">
        <f t="shared" si="15"/>
        <v>518.491292</v>
      </c>
    </row>
    <row r="380" spans="1:4" ht="12.75">
      <c r="A380" s="158" t="s">
        <v>2815</v>
      </c>
      <c r="B380" s="148" t="s">
        <v>1702</v>
      </c>
      <c r="C380" s="586">
        <f>457.9*1.1*1.1</f>
        <v>554.0590000000001</v>
      </c>
      <c r="D380" s="149">
        <f t="shared" si="15"/>
        <v>653.78962</v>
      </c>
    </row>
    <row r="381" spans="1:4" ht="12.75">
      <c r="A381" s="158" t="s">
        <v>2816</v>
      </c>
      <c r="B381" s="148" t="s">
        <v>1704</v>
      </c>
      <c r="C381" s="586">
        <f>298.63*1.1*1.1</f>
        <v>361.3423</v>
      </c>
      <c r="D381" s="149">
        <f t="shared" si="15"/>
        <v>426.383914</v>
      </c>
    </row>
    <row r="382" spans="1:4" ht="12.75">
      <c r="A382" s="158" t="s">
        <v>2817</v>
      </c>
      <c r="B382" s="148" t="s">
        <v>1705</v>
      </c>
      <c r="C382" s="586">
        <f>364.33*1.1*1.1</f>
        <v>440.8393000000001</v>
      </c>
      <c r="D382" s="149">
        <f t="shared" si="15"/>
        <v>520.1903740000001</v>
      </c>
    </row>
    <row r="383" spans="1:4" ht="13.5" thickBot="1">
      <c r="A383" s="159" t="s">
        <v>2818</v>
      </c>
      <c r="B383" s="151" t="s">
        <v>2273</v>
      </c>
      <c r="C383" s="586">
        <f>1356.03*1.1*1.1</f>
        <v>1640.7963000000002</v>
      </c>
      <c r="D383" s="152">
        <f t="shared" si="15"/>
        <v>1936.1396340000001</v>
      </c>
    </row>
    <row r="384" spans="1:4" s="111" customFormat="1" ht="13.5" thickBot="1">
      <c r="A384" s="307" t="s">
        <v>2071</v>
      </c>
      <c r="B384" s="921" t="s">
        <v>1613</v>
      </c>
      <c r="C384" s="912"/>
      <c r="D384" s="922"/>
    </row>
    <row r="385" spans="1:4" ht="12.75">
      <c r="A385" s="167" t="s">
        <v>2072</v>
      </c>
      <c r="B385" s="146" t="s">
        <v>1706</v>
      </c>
      <c r="C385" s="586">
        <f>382.25*1.1*1.1</f>
        <v>462.52250000000004</v>
      </c>
      <c r="D385" s="147">
        <f t="shared" si="15"/>
        <v>545.77655</v>
      </c>
    </row>
    <row r="386" spans="1:4" ht="12.75">
      <c r="A386" s="158" t="s">
        <v>2073</v>
      </c>
      <c r="B386" s="148" t="s">
        <v>2578</v>
      </c>
      <c r="C386" s="586">
        <f>199.09*1.1*1.1</f>
        <v>240.89890000000005</v>
      </c>
      <c r="D386" s="149">
        <f t="shared" si="15"/>
        <v>284.26070200000004</v>
      </c>
    </row>
    <row r="387" spans="1:4" ht="12.75">
      <c r="A387" s="158" t="s">
        <v>2074</v>
      </c>
      <c r="B387" s="148" t="s">
        <v>2383</v>
      </c>
      <c r="C387" s="586">
        <f>305.8*1.1*1.1</f>
        <v>370.0180000000001</v>
      </c>
      <c r="D387" s="149">
        <f t="shared" si="15"/>
        <v>436.62124000000006</v>
      </c>
    </row>
    <row r="388" spans="1:4" ht="12.75">
      <c r="A388" s="158" t="s">
        <v>2075</v>
      </c>
      <c r="B388" s="148" t="s">
        <v>2576</v>
      </c>
      <c r="C388" s="586">
        <f>305.8*1.1*1.1</f>
        <v>370.0180000000001</v>
      </c>
      <c r="D388" s="149">
        <f t="shared" si="15"/>
        <v>436.62124000000006</v>
      </c>
    </row>
    <row r="389" spans="1:4" ht="12.75">
      <c r="A389" s="158" t="s">
        <v>2076</v>
      </c>
      <c r="B389" s="148" t="s">
        <v>1707</v>
      </c>
      <c r="C389" s="586">
        <f>573.38*1.1*1.1</f>
        <v>693.7898000000001</v>
      </c>
      <c r="D389" s="149">
        <f t="shared" si="15"/>
        <v>818.6719640000001</v>
      </c>
    </row>
    <row r="390" spans="1:4" ht="12.75">
      <c r="A390" s="158" t="s">
        <v>2077</v>
      </c>
      <c r="B390" s="148" t="s">
        <v>1636</v>
      </c>
      <c r="C390" s="586">
        <f>199.09*1.1*1.1</f>
        <v>240.89890000000005</v>
      </c>
      <c r="D390" s="149">
        <f t="shared" si="15"/>
        <v>284.26070200000004</v>
      </c>
    </row>
    <row r="391" spans="1:4" ht="12.75">
      <c r="A391" s="158" t="s">
        <v>2078</v>
      </c>
      <c r="B391" s="148" t="s">
        <v>2394</v>
      </c>
      <c r="C391" s="586">
        <f>99.54*1.1*1.1</f>
        <v>120.44340000000003</v>
      </c>
      <c r="D391" s="149">
        <f t="shared" si="15"/>
        <v>142.12321200000002</v>
      </c>
    </row>
    <row r="392" spans="1:4" ht="12.75">
      <c r="A392" s="158" t="s">
        <v>2079</v>
      </c>
      <c r="B392" s="148" t="s">
        <v>1545</v>
      </c>
      <c r="C392" s="586">
        <f>59.73*1.1*1.1</f>
        <v>72.2733</v>
      </c>
      <c r="D392" s="149">
        <f t="shared" si="15"/>
        <v>85.282494</v>
      </c>
    </row>
    <row r="393" spans="1:4" ht="12.75" customHeight="1">
      <c r="A393" s="168" t="s">
        <v>2080</v>
      </c>
      <c r="B393" s="160" t="s">
        <v>2575</v>
      </c>
      <c r="C393" s="586">
        <f>199.09*1.1*1.1</f>
        <v>240.89890000000005</v>
      </c>
      <c r="D393" s="161">
        <f>C393*1.18</f>
        <v>284.26070200000004</v>
      </c>
    </row>
    <row r="394" spans="1:4" ht="12.75">
      <c r="A394" s="158" t="s">
        <v>2081</v>
      </c>
      <c r="B394" s="148" t="s">
        <v>2577</v>
      </c>
      <c r="C394" s="586">
        <f>358.36*1.1*1.1</f>
        <v>433.6156000000001</v>
      </c>
      <c r="D394" s="149">
        <f>C394*1.18</f>
        <v>511.66640800000005</v>
      </c>
    </row>
    <row r="395" spans="1:4" ht="13.5" thickBot="1">
      <c r="A395" s="159" t="s">
        <v>2082</v>
      </c>
      <c r="B395" s="151" t="s">
        <v>1082</v>
      </c>
      <c r="C395" s="586">
        <f>305.8*1.1*1.1</f>
        <v>370.0180000000001</v>
      </c>
      <c r="D395" s="152">
        <f>C395*1.18</f>
        <v>436.62124000000006</v>
      </c>
    </row>
    <row r="396" spans="1:4" s="111" customFormat="1" ht="13.5" thickBot="1">
      <c r="A396" s="307" t="s">
        <v>2083</v>
      </c>
      <c r="B396" s="921" t="s">
        <v>2579</v>
      </c>
      <c r="C396" s="912"/>
      <c r="D396" s="922"/>
    </row>
    <row r="397" spans="1:4" ht="25.5">
      <c r="A397" s="167" t="s">
        <v>2084</v>
      </c>
      <c r="B397" s="146" t="s">
        <v>2580</v>
      </c>
      <c r="C397" s="586">
        <f>199.09*1.1*1.1</f>
        <v>240.89890000000005</v>
      </c>
      <c r="D397" s="147">
        <f aca="true" t="shared" si="16" ref="D397:D403">C397*1.18</f>
        <v>284.26070200000004</v>
      </c>
    </row>
    <row r="398" spans="1:4" ht="12.75">
      <c r="A398" s="158" t="s">
        <v>2085</v>
      </c>
      <c r="B398" s="148" t="s">
        <v>2581</v>
      </c>
      <c r="C398" s="586">
        <f>99.54*1.1*1.1</f>
        <v>120.44340000000003</v>
      </c>
      <c r="D398" s="169">
        <f t="shared" si="16"/>
        <v>142.12321200000002</v>
      </c>
    </row>
    <row r="399" spans="1:4" ht="12.75">
      <c r="A399" s="158" t="s">
        <v>2086</v>
      </c>
      <c r="B399" s="148" t="s">
        <v>2582</v>
      </c>
      <c r="C399" s="586">
        <f>358.36*1.1*1.1</f>
        <v>433.6156000000001</v>
      </c>
      <c r="D399" s="169">
        <f t="shared" si="16"/>
        <v>511.66640800000005</v>
      </c>
    </row>
    <row r="400" spans="1:4" ht="12.75">
      <c r="A400" s="158" t="s">
        <v>2087</v>
      </c>
      <c r="B400" s="148" t="s">
        <v>1637</v>
      </c>
      <c r="C400" s="586">
        <f>305.8*1.1*1.1</f>
        <v>370.0180000000001</v>
      </c>
      <c r="D400" s="169">
        <f t="shared" si="16"/>
        <v>436.62124000000006</v>
      </c>
    </row>
    <row r="401" spans="1:4" ht="12.75">
      <c r="A401" s="158" t="s">
        <v>2088</v>
      </c>
      <c r="B401" s="148" t="s">
        <v>2583</v>
      </c>
      <c r="C401" s="586">
        <f>199.09*1.1*1.1</f>
        <v>240.89890000000005</v>
      </c>
      <c r="D401" s="169">
        <f t="shared" si="16"/>
        <v>284.26070200000004</v>
      </c>
    </row>
    <row r="402" spans="1:4" ht="12.75">
      <c r="A402" s="158" t="s">
        <v>2089</v>
      </c>
      <c r="B402" s="148" t="s">
        <v>2584</v>
      </c>
      <c r="C402" s="586">
        <f>630.71*1.1*1.1</f>
        <v>763.1591000000001</v>
      </c>
      <c r="D402" s="169">
        <f t="shared" si="16"/>
        <v>900.527738</v>
      </c>
    </row>
    <row r="403" spans="1:4" ht="13.5" thickBot="1">
      <c r="A403" s="159" t="s">
        <v>2090</v>
      </c>
      <c r="B403" s="151" t="s">
        <v>2585</v>
      </c>
      <c r="C403" s="586">
        <f>477.81*1.1*1.1</f>
        <v>578.1501000000001</v>
      </c>
      <c r="D403" s="152">
        <f t="shared" si="16"/>
        <v>682.217118</v>
      </c>
    </row>
    <row r="404" spans="1:4" s="111" customFormat="1" ht="13.5" thickBot="1">
      <c r="A404" s="170" t="s">
        <v>2091</v>
      </c>
      <c r="B404" s="931" t="s">
        <v>2586</v>
      </c>
      <c r="C404" s="932"/>
      <c r="D404" s="933"/>
    </row>
    <row r="405" spans="1:4" ht="12.75">
      <c r="A405" s="171" t="s">
        <v>2092</v>
      </c>
      <c r="B405" s="172" t="s">
        <v>2587</v>
      </c>
      <c r="C405" s="586">
        <f>955.63*1.1*1.1</f>
        <v>1156.3123</v>
      </c>
      <c r="D405" s="147">
        <f aca="true" t="shared" si="17" ref="D405:D417">C405*1.18</f>
        <v>1364.448514</v>
      </c>
    </row>
    <row r="406" spans="1:4" ht="12.75">
      <c r="A406" s="168" t="s">
        <v>2093</v>
      </c>
      <c r="B406" s="160" t="s">
        <v>1049</v>
      </c>
      <c r="C406" s="586">
        <f>879.18*1.1*1.1</f>
        <v>1063.8078000000003</v>
      </c>
      <c r="D406" s="149">
        <f t="shared" si="17"/>
        <v>1255.2932040000003</v>
      </c>
    </row>
    <row r="407" spans="1:4" ht="12.75">
      <c r="A407" s="168" t="s">
        <v>2094</v>
      </c>
      <c r="B407" s="160" t="s">
        <v>2409</v>
      </c>
      <c r="C407" s="586">
        <f>344.03*1.1*1.1</f>
        <v>416.27630000000005</v>
      </c>
      <c r="D407" s="149">
        <f t="shared" si="17"/>
        <v>491.20603400000005</v>
      </c>
    </row>
    <row r="408" spans="1:4" ht="12.75">
      <c r="A408" s="168" t="s">
        <v>2095</v>
      </c>
      <c r="B408" s="160" t="s">
        <v>2410</v>
      </c>
      <c r="C408" s="586">
        <f>802.73*1.1*1.1</f>
        <v>971.3033000000001</v>
      </c>
      <c r="D408" s="149">
        <f t="shared" si="17"/>
        <v>1146.1378940000002</v>
      </c>
    </row>
    <row r="409" spans="1:4" ht="12.75">
      <c r="A409" s="168" t="s">
        <v>2096</v>
      </c>
      <c r="B409" s="160" t="s">
        <v>2411</v>
      </c>
      <c r="C409" s="586">
        <f>229.35*1.1*1.1</f>
        <v>277.5135</v>
      </c>
      <c r="D409" s="149">
        <f t="shared" si="17"/>
        <v>327.46593</v>
      </c>
    </row>
    <row r="410" spans="1:4" ht="12.75">
      <c r="A410" s="168" t="s">
        <v>2097</v>
      </c>
      <c r="B410" s="160" t="s">
        <v>2412</v>
      </c>
      <c r="C410" s="586">
        <f>915.81*1.1*1.1</f>
        <v>1108.1301</v>
      </c>
      <c r="D410" s="149">
        <f t="shared" si="17"/>
        <v>1307.5935180000001</v>
      </c>
    </row>
    <row r="411" spans="1:4" ht="12.75">
      <c r="A411" s="158" t="s">
        <v>2098</v>
      </c>
      <c r="B411" s="148" t="s">
        <v>1044</v>
      </c>
      <c r="C411" s="586">
        <f>764.5*1.1*1.1</f>
        <v>925.0450000000001</v>
      </c>
      <c r="D411" s="149">
        <f t="shared" si="17"/>
        <v>1091.5531</v>
      </c>
    </row>
    <row r="412" spans="1:4" ht="12.75">
      <c r="A412" s="158" t="s">
        <v>2099</v>
      </c>
      <c r="B412" s="148" t="s">
        <v>2413</v>
      </c>
      <c r="C412" s="586">
        <f>1098.97*1.1*1.1</f>
        <v>1329.7537000000002</v>
      </c>
      <c r="D412" s="149">
        <f t="shared" si="17"/>
        <v>1569.1093660000001</v>
      </c>
    </row>
    <row r="413" spans="1:4" ht="12.75">
      <c r="A413" s="158" t="s">
        <v>2100</v>
      </c>
      <c r="B413" s="148" t="s">
        <v>2414</v>
      </c>
      <c r="C413" s="586">
        <f>764.5*1.1*1.1</f>
        <v>925.0450000000001</v>
      </c>
      <c r="D413" s="149">
        <f t="shared" si="17"/>
        <v>1091.5531</v>
      </c>
    </row>
    <row r="414" spans="1:4" ht="25.5">
      <c r="A414" s="158" t="s">
        <v>2101</v>
      </c>
      <c r="B414" s="148" t="s">
        <v>861</v>
      </c>
      <c r="C414" s="586">
        <f>1007.39*1.1*1.1</f>
        <v>1218.9419000000003</v>
      </c>
      <c r="D414" s="149">
        <f t="shared" si="17"/>
        <v>1438.3514420000001</v>
      </c>
    </row>
    <row r="415" spans="1:4" ht="12.75">
      <c r="A415" s="158" t="s">
        <v>2102</v>
      </c>
      <c r="B415" s="148" t="s">
        <v>862</v>
      </c>
      <c r="C415" s="586">
        <f>1465.29*1.1*1.1</f>
        <v>1773.0009000000005</v>
      </c>
      <c r="D415" s="149">
        <f t="shared" si="17"/>
        <v>2092.1410620000006</v>
      </c>
    </row>
    <row r="416" spans="1:4" ht="12.75">
      <c r="A416" s="158" t="s">
        <v>2103</v>
      </c>
      <c r="B416" s="148" t="s">
        <v>863</v>
      </c>
      <c r="C416" s="586">
        <f>1282.13*1.1*1.1</f>
        <v>1551.3773000000006</v>
      </c>
      <c r="D416" s="149">
        <f t="shared" si="17"/>
        <v>1830.6252140000006</v>
      </c>
    </row>
    <row r="417" spans="1:4" ht="12.75">
      <c r="A417" s="158" t="s">
        <v>2104</v>
      </c>
      <c r="B417" s="148" t="s">
        <v>864</v>
      </c>
      <c r="C417" s="586">
        <f>457.9*1.1*1.1</f>
        <v>554.0590000000001</v>
      </c>
      <c r="D417" s="149">
        <f t="shared" si="17"/>
        <v>653.78962</v>
      </c>
    </row>
    <row r="418" spans="1:4" ht="12.75">
      <c r="A418" s="158" t="s">
        <v>2105</v>
      </c>
      <c r="B418" s="148" t="s">
        <v>865</v>
      </c>
      <c r="C418" s="586">
        <f>366.32*1.1*1.1</f>
        <v>443.2472</v>
      </c>
      <c r="D418" s="149">
        <f>C418*1.18</f>
        <v>523.031696</v>
      </c>
    </row>
    <row r="419" spans="1:4" ht="13.5" thickBot="1">
      <c r="A419" s="158" t="s">
        <v>2106</v>
      </c>
      <c r="B419" s="164" t="s">
        <v>1482</v>
      </c>
      <c r="C419" s="586">
        <f>796.35*1.1*1.1</f>
        <v>963.5835000000002</v>
      </c>
      <c r="D419" s="149">
        <f>C419*1.18</f>
        <v>1137.02853</v>
      </c>
    </row>
    <row r="420" spans="1:4" ht="27" customHeight="1" thickBot="1">
      <c r="A420" s="908" t="s">
        <v>1318</v>
      </c>
      <c r="B420" s="909"/>
      <c r="C420" s="909"/>
      <c r="D420" s="910"/>
    </row>
    <row r="421" spans="1:4" ht="13.5" thickBot="1">
      <c r="A421" s="174" t="s">
        <v>2615</v>
      </c>
      <c r="B421" s="934" t="s">
        <v>1708</v>
      </c>
      <c r="C421" s="935"/>
      <c r="D421" s="936"/>
    </row>
    <row r="422" spans="1:4" ht="12.75">
      <c r="A422" s="317" t="s">
        <v>2107</v>
      </c>
      <c r="B422" s="341" t="s">
        <v>2465</v>
      </c>
      <c r="C422" s="591">
        <f>14.65*1.1*1.1</f>
        <v>17.726500000000005</v>
      </c>
      <c r="D422" s="169">
        <f t="shared" si="15"/>
        <v>20.917270000000006</v>
      </c>
    </row>
    <row r="423" spans="1:4" ht="12.75">
      <c r="A423" s="272" t="s">
        <v>2108</v>
      </c>
      <c r="B423" s="148" t="s">
        <v>2460</v>
      </c>
      <c r="C423" s="586">
        <f>29.31*1.1*1.1</f>
        <v>35.4651</v>
      </c>
      <c r="D423" s="149">
        <f t="shared" si="15"/>
        <v>41.848817999999994</v>
      </c>
    </row>
    <row r="424" spans="1:4" ht="12.75">
      <c r="A424" s="272" t="s">
        <v>2109</v>
      </c>
      <c r="B424" s="148" t="s">
        <v>2037</v>
      </c>
      <c r="C424" s="586">
        <f>45.79*1.1*1.1</f>
        <v>55.4059</v>
      </c>
      <c r="D424" s="149">
        <f t="shared" si="15"/>
        <v>65.378962</v>
      </c>
    </row>
    <row r="425" spans="1:4" ht="12.75">
      <c r="A425" s="272" t="s">
        <v>2110</v>
      </c>
      <c r="B425" s="148" t="s">
        <v>2040</v>
      </c>
      <c r="C425" s="586">
        <f>60.44*1.1*1.1</f>
        <v>73.13240000000002</v>
      </c>
      <c r="D425" s="149">
        <f t="shared" si="15"/>
        <v>86.29623200000002</v>
      </c>
    </row>
    <row r="426" spans="1:4" ht="12.75">
      <c r="A426" s="272" t="s">
        <v>2111</v>
      </c>
      <c r="B426" s="148" t="s">
        <v>2043</v>
      </c>
      <c r="C426" s="586">
        <f>14.65*1.1*1.1</f>
        <v>17.726500000000005</v>
      </c>
      <c r="D426" s="149">
        <f t="shared" si="15"/>
        <v>20.917270000000006</v>
      </c>
    </row>
    <row r="427" spans="1:4" ht="12.75">
      <c r="A427" s="272" t="s">
        <v>2112</v>
      </c>
      <c r="B427" s="380" t="s">
        <v>2277</v>
      </c>
      <c r="C427" s="586">
        <f>14.65*1.1*1.1</f>
        <v>17.726500000000005</v>
      </c>
      <c r="D427" s="149">
        <f t="shared" si="15"/>
        <v>20.917270000000006</v>
      </c>
    </row>
    <row r="428" spans="1:4" ht="12.75">
      <c r="A428" s="272" t="s">
        <v>2113</v>
      </c>
      <c r="B428" s="380" t="s">
        <v>2278</v>
      </c>
      <c r="C428" s="586">
        <f>25.49*1.1*1.1</f>
        <v>30.842900000000004</v>
      </c>
      <c r="D428" s="149">
        <f>C428*1.18</f>
        <v>36.394622000000005</v>
      </c>
    </row>
    <row r="429" spans="1:4" s="364" customFormat="1" ht="12.75">
      <c r="A429" s="267" t="s">
        <v>2114</v>
      </c>
      <c r="B429" s="192" t="s">
        <v>2279</v>
      </c>
      <c r="C429" s="586">
        <f>54.95*1.1*1.1</f>
        <v>66.4895</v>
      </c>
      <c r="D429" s="366">
        <f t="shared" si="15"/>
        <v>78.45761</v>
      </c>
    </row>
    <row r="430" spans="1:4" ht="12.75">
      <c r="A430" s="272" t="s">
        <v>2115</v>
      </c>
      <c r="B430" s="148" t="s">
        <v>2044</v>
      </c>
      <c r="C430" s="586">
        <f>238.91*1.1*1.1</f>
        <v>289.08110000000005</v>
      </c>
      <c r="D430" s="149">
        <f t="shared" si="15"/>
        <v>341.11569800000007</v>
      </c>
    </row>
    <row r="431" spans="1:4" ht="12.75">
      <c r="A431" s="272" t="s">
        <v>2116</v>
      </c>
      <c r="B431" s="148" t="s">
        <v>845</v>
      </c>
      <c r="C431" s="586">
        <f>159.27*1.1*1.1</f>
        <v>192.71670000000006</v>
      </c>
      <c r="D431" s="149">
        <f t="shared" si="15"/>
        <v>227.40570600000007</v>
      </c>
    </row>
    <row r="432" spans="1:4" ht="12.75">
      <c r="A432" s="272" t="s">
        <v>2117</v>
      </c>
      <c r="B432" s="148" t="s">
        <v>2280</v>
      </c>
      <c r="C432" s="586">
        <f>31.14*1.1*1.1</f>
        <v>37.67940000000001</v>
      </c>
      <c r="D432" s="149">
        <f t="shared" si="15"/>
        <v>44.461692000000006</v>
      </c>
    </row>
    <row r="433" spans="1:4" ht="12.75">
      <c r="A433" s="272" t="s">
        <v>2118</v>
      </c>
      <c r="B433" s="148" t="s">
        <v>846</v>
      </c>
      <c r="C433" s="586">
        <f>254.2*1.1*1.1</f>
        <v>307.58200000000005</v>
      </c>
      <c r="D433" s="149">
        <f t="shared" si="15"/>
        <v>362.94676000000004</v>
      </c>
    </row>
    <row r="434" spans="1:4" ht="12.75">
      <c r="A434" s="272" t="s">
        <v>2119</v>
      </c>
      <c r="B434" s="148" t="s">
        <v>2470</v>
      </c>
      <c r="C434" s="586">
        <f>318.54*1.1*1.1</f>
        <v>385.4334000000001</v>
      </c>
      <c r="D434" s="149">
        <f t="shared" si="15"/>
        <v>454.81141200000013</v>
      </c>
    </row>
    <row r="435" spans="1:4" ht="12.75">
      <c r="A435" s="272" t="s">
        <v>2120</v>
      </c>
      <c r="B435" s="148" t="s">
        <v>849</v>
      </c>
      <c r="C435" s="586">
        <f>216.61*1.1*1.1</f>
        <v>262.09810000000004</v>
      </c>
      <c r="D435" s="149">
        <f t="shared" si="15"/>
        <v>309.27575800000005</v>
      </c>
    </row>
    <row r="436" spans="1:4" ht="12.75">
      <c r="A436" s="272" t="s">
        <v>2121</v>
      </c>
      <c r="B436" s="148" t="s">
        <v>850</v>
      </c>
      <c r="C436" s="586">
        <f>199.09*1.1*1.1</f>
        <v>240.89890000000005</v>
      </c>
      <c r="D436" s="149">
        <f t="shared" si="15"/>
        <v>284.26070200000004</v>
      </c>
    </row>
    <row r="437" spans="1:4" ht="12.75">
      <c r="A437" s="272" t="s">
        <v>2122</v>
      </c>
      <c r="B437" s="148" t="s">
        <v>1625</v>
      </c>
      <c r="C437" s="586">
        <f>25.48*1.1*1.1</f>
        <v>30.830800000000004</v>
      </c>
      <c r="D437" s="149">
        <f t="shared" si="15"/>
        <v>36.380344</v>
      </c>
    </row>
    <row r="438" spans="1:4" ht="12.75">
      <c r="A438" s="272" t="s">
        <v>2123</v>
      </c>
      <c r="B438" s="148" t="s">
        <v>1626</v>
      </c>
      <c r="C438" s="586">
        <f>119.45*1.1*1.1</f>
        <v>144.53450000000004</v>
      </c>
      <c r="D438" s="149">
        <f t="shared" si="15"/>
        <v>170.55071000000004</v>
      </c>
    </row>
    <row r="439" spans="1:4" ht="12.75">
      <c r="A439" s="272" t="s">
        <v>2124</v>
      </c>
      <c r="B439" s="148" t="s">
        <v>1629</v>
      </c>
      <c r="C439" s="586">
        <f>39.82*1.1*1.1</f>
        <v>48.18220000000001</v>
      </c>
      <c r="D439" s="149">
        <f aca="true" t="shared" si="18" ref="D439:D504">C439*1.18</f>
        <v>56.85499600000001</v>
      </c>
    </row>
    <row r="440" spans="1:4" ht="12.75">
      <c r="A440" s="272" t="s">
        <v>2125</v>
      </c>
      <c r="B440" s="148" t="s">
        <v>1630</v>
      </c>
      <c r="C440" s="586">
        <f>27.08*1.1*1.1</f>
        <v>32.7668</v>
      </c>
      <c r="D440" s="149">
        <f t="shared" si="18"/>
        <v>38.664824</v>
      </c>
    </row>
    <row r="441" spans="1:4" ht="12.75">
      <c r="A441" s="272" t="s">
        <v>2126</v>
      </c>
      <c r="B441" s="148" t="s">
        <v>2045</v>
      </c>
      <c r="C441" s="586">
        <f>111.49*1.1*1.1</f>
        <v>134.90290000000002</v>
      </c>
      <c r="D441" s="149">
        <f t="shared" si="18"/>
        <v>159.18542200000002</v>
      </c>
    </row>
    <row r="442" spans="1:4" s="364" customFormat="1" ht="12.75">
      <c r="A442" s="368" t="s">
        <v>2127</v>
      </c>
      <c r="B442" s="367" t="s">
        <v>2046</v>
      </c>
      <c r="C442" s="588">
        <f>159.27*1.1*1.1</f>
        <v>192.71670000000006</v>
      </c>
      <c r="D442" s="366">
        <f t="shared" si="18"/>
        <v>227.40570600000007</v>
      </c>
    </row>
    <row r="443" spans="1:4" ht="12.75">
      <c r="A443" s="272" t="s">
        <v>2128</v>
      </c>
      <c r="B443" s="148" t="s">
        <v>2685</v>
      </c>
      <c r="C443" s="586">
        <f>79.64*1.1*1.1</f>
        <v>96.36440000000002</v>
      </c>
      <c r="D443" s="149">
        <f t="shared" si="18"/>
        <v>113.70999200000001</v>
      </c>
    </row>
    <row r="444" spans="1:4" ht="12.75">
      <c r="A444" s="272" t="s">
        <v>2129</v>
      </c>
      <c r="B444" s="148" t="s">
        <v>2047</v>
      </c>
      <c r="C444" s="586">
        <f>60.52*1.1*1.1</f>
        <v>73.2292</v>
      </c>
      <c r="D444" s="149">
        <f t="shared" si="18"/>
        <v>86.410456</v>
      </c>
    </row>
    <row r="445" spans="1:4" ht="12.75">
      <c r="A445" s="272" t="s">
        <v>2130</v>
      </c>
      <c r="B445" s="148" t="s">
        <v>2048</v>
      </c>
      <c r="C445" s="586">
        <f>92.38*1.1*1.1</f>
        <v>111.77980000000002</v>
      </c>
      <c r="D445" s="149">
        <f t="shared" si="18"/>
        <v>131.90016400000002</v>
      </c>
    </row>
    <row r="446" spans="1:4" ht="12.75">
      <c r="A446" s="272" t="s">
        <v>2131</v>
      </c>
      <c r="B446" s="148" t="s">
        <v>2051</v>
      </c>
      <c r="C446" s="586">
        <f>312.17*1.1*1.1</f>
        <v>377.7257000000001</v>
      </c>
      <c r="D446" s="149">
        <f t="shared" si="18"/>
        <v>445.71632600000004</v>
      </c>
    </row>
    <row r="447" spans="1:4" ht="12.75">
      <c r="A447" s="272" t="s">
        <v>2132</v>
      </c>
      <c r="B447" s="148" t="s">
        <v>2052</v>
      </c>
      <c r="C447" s="586">
        <f>144.94*1.1*1.1</f>
        <v>175.37740000000002</v>
      </c>
      <c r="D447" s="149">
        <f t="shared" si="18"/>
        <v>206.945332</v>
      </c>
    </row>
    <row r="448" spans="1:4" ht="12.75">
      <c r="A448" s="272" t="s">
        <v>2133</v>
      </c>
      <c r="B448" s="148" t="s">
        <v>2053</v>
      </c>
      <c r="C448" s="586">
        <f>254.83*1.1*1.1</f>
        <v>308.3443000000001</v>
      </c>
      <c r="D448" s="149">
        <f t="shared" si="18"/>
        <v>363.8462740000001</v>
      </c>
    </row>
    <row r="449" spans="1:4" s="364" customFormat="1" ht="12.75">
      <c r="A449" s="368" t="s">
        <v>2134</v>
      </c>
      <c r="B449" s="367" t="s">
        <v>3359</v>
      </c>
      <c r="C449" s="588">
        <f>3*191*1.1*1.1</f>
        <v>693.3300000000002</v>
      </c>
      <c r="D449" s="366">
        <f t="shared" si="18"/>
        <v>818.1294000000001</v>
      </c>
    </row>
    <row r="450" spans="1:4" s="364" customFormat="1" ht="12.75">
      <c r="A450" s="368" t="s">
        <v>2135</v>
      </c>
      <c r="B450" s="367" t="s">
        <v>2054</v>
      </c>
      <c r="C450" s="588">
        <f>238.91*1.1*1.1</f>
        <v>289.08110000000005</v>
      </c>
      <c r="D450" s="366">
        <f t="shared" si="18"/>
        <v>341.11569800000007</v>
      </c>
    </row>
    <row r="451" spans="1:4" s="364" customFormat="1" ht="12.75">
      <c r="A451" s="368" t="s">
        <v>2136</v>
      </c>
      <c r="B451" s="367" t="s">
        <v>2055</v>
      </c>
      <c r="C451" s="588">
        <f>477.81*1.1*1.1</f>
        <v>578.1501000000001</v>
      </c>
      <c r="D451" s="366">
        <f t="shared" si="18"/>
        <v>682.217118</v>
      </c>
    </row>
    <row r="452" spans="1:4" s="364" customFormat="1" ht="12.75">
      <c r="A452" s="368" t="s">
        <v>2137</v>
      </c>
      <c r="B452" s="367" t="s">
        <v>2056</v>
      </c>
      <c r="C452" s="588">
        <f>92.38*1.1*1.1</f>
        <v>111.77980000000002</v>
      </c>
      <c r="D452" s="366">
        <f t="shared" si="18"/>
        <v>131.90016400000002</v>
      </c>
    </row>
    <row r="453" spans="1:4" s="364" customFormat="1" ht="12.75">
      <c r="A453" s="368" t="s">
        <v>2138</v>
      </c>
      <c r="B453" s="367" t="s">
        <v>2684</v>
      </c>
      <c r="C453" s="588">
        <f>238.91*1.1*1.1</f>
        <v>289.08110000000005</v>
      </c>
      <c r="D453" s="366">
        <f t="shared" si="18"/>
        <v>341.11569800000007</v>
      </c>
    </row>
    <row r="454" spans="1:4" s="364" customFormat="1" ht="12.75">
      <c r="A454" s="368" t="s">
        <v>2139</v>
      </c>
      <c r="B454" s="367" t="s">
        <v>2057</v>
      </c>
      <c r="C454" s="588">
        <f>159.27*1.1*1.1</f>
        <v>192.71670000000006</v>
      </c>
      <c r="D454" s="366">
        <f t="shared" si="18"/>
        <v>227.40570600000007</v>
      </c>
    </row>
    <row r="455" spans="1:4" s="364" customFormat="1" ht="12.75">
      <c r="A455" s="368" t="s">
        <v>2140</v>
      </c>
      <c r="B455" s="367" t="s">
        <v>2516</v>
      </c>
      <c r="C455" s="588">
        <f>159.27*1.1*1.1</f>
        <v>192.71670000000006</v>
      </c>
      <c r="D455" s="366">
        <f t="shared" si="18"/>
        <v>227.40570600000007</v>
      </c>
    </row>
    <row r="456" spans="1:4" s="364" customFormat="1" ht="12.75">
      <c r="A456" s="368" t="s">
        <v>2141</v>
      </c>
      <c r="B456" s="367" t="s">
        <v>2517</v>
      </c>
      <c r="C456" s="588">
        <f>318.54*1.1*1.1</f>
        <v>385.4334000000001</v>
      </c>
      <c r="D456" s="366">
        <f t="shared" si="18"/>
        <v>454.81141200000013</v>
      </c>
    </row>
    <row r="457" spans="1:4" s="364" customFormat="1" ht="12.75">
      <c r="A457" s="368" t="s">
        <v>2142</v>
      </c>
      <c r="B457" s="367" t="s">
        <v>3360</v>
      </c>
      <c r="C457" s="588">
        <f>3*191*1.1*1.1</f>
        <v>693.3300000000002</v>
      </c>
      <c r="D457" s="366">
        <f t="shared" si="18"/>
        <v>818.1294000000001</v>
      </c>
    </row>
    <row r="458" spans="1:4" s="364" customFormat="1" ht="12.75">
      <c r="A458" s="368" t="s">
        <v>2145</v>
      </c>
      <c r="B458" s="367" t="s">
        <v>2518</v>
      </c>
      <c r="C458" s="588">
        <f>318.54*1.1*1.1</f>
        <v>385.4334000000001</v>
      </c>
      <c r="D458" s="366">
        <f t="shared" si="18"/>
        <v>454.81141200000013</v>
      </c>
    </row>
    <row r="459" spans="1:4" s="364" customFormat="1" ht="12.75">
      <c r="A459" s="368" t="s">
        <v>2143</v>
      </c>
      <c r="B459" s="367" t="s">
        <v>2519</v>
      </c>
      <c r="C459" s="588">
        <f>398.18*1.1*1.1</f>
        <v>481.7978000000001</v>
      </c>
      <c r="D459" s="366">
        <f t="shared" si="18"/>
        <v>568.5214040000001</v>
      </c>
    </row>
    <row r="460" spans="1:4" s="364" customFormat="1" ht="12.75">
      <c r="A460" s="368" t="s">
        <v>2144</v>
      </c>
      <c r="B460" s="367" t="s">
        <v>428</v>
      </c>
      <c r="C460" s="588">
        <f>3*191*1.1*1.1</f>
        <v>693.3300000000002</v>
      </c>
      <c r="D460" s="366">
        <f t="shared" si="18"/>
        <v>818.1294000000001</v>
      </c>
    </row>
    <row r="461" spans="1:4" ht="12.75">
      <c r="A461" s="272" t="s">
        <v>2145</v>
      </c>
      <c r="B461" s="148" t="s">
        <v>2520</v>
      </c>
      <c r="C461" s="586">
        <f>159.27*1.1*1.1</f>
        <v>192.71670000000006</v>
      </c>
      <c r="D461" s="149">
        <f t="shared" si="18"/>
        <v>227.40570600000007</v>
      </c>
    </row>
    <row r="462" spans="1:4" ht="12.75">
      <c r="A462" s="272" t="s">
        <v>2146</v>
      </c>
      <c r="B462" s="148" t="s">
        <v>1614</v>
      </c>
      <c r="C462" s="586">
        <f>238.91*1.1*1.1</f>
        <v>289.08110000000005</v>
      </c>
      <c r="D462" s="149">
        <f t="shared" si="18"/>
        <v>341.11569800000007</v>
      </c>
    </row>
    <row r="463" spans="1:4" ht="12.75">
      <c r="A463" s="272" t="s">
        <v>2147</v>
      </c>
      <c r="B463" s="148" t="s">
        <v>1615</v>
      </c>
      <c r="C463" s="586">
        <f>238.91*1.1*1.1</f>
        <v>289.08110000000005</v>
      </c>
      <c r="D463" s="149">
        <f t="shared" si="18"/>
        <v>341.11569800000007</v>
      </c>
    </row>
    <row r="464" spans="1:4" ht="12.75">
      <c r="A464" s="272" t="s">
        <v>2148</v>
      </c>
      <c r="B464" s="148" t="s">
        <v>1616</v>
      </c>
      <c r="C464" s="586">
        <f>318.54*1.1*1.1</f>
        <v>385.4334000000001</v>
      </c>
      <c r="D464" s="149">
        <f t="shared" si="18"/>
        <v>454.81141200000013</v>
      </c>
    </row>
    <row r="465" spans="1:4" ht="12.75">
      <c r="A465" s="272" t="s">
        <v>2149</v>
      </c>
      <c r="B465" s="148" t="s">
        <v>2680</v>
      </c>
      <c r="C465" s="586">
        <f>159.27*1.1*1.1</f>
        <v>192.71670000000006</v>
      </c>
      <c r="D465" s="149">
        <f t="shared" si="18"/>
        <v>227.40570600000007</v>
      </c>
    </row>
    <row r="466" spans="1:4" ht="12.75">
      <c r="A466" s="272" t="s">
        <v>2150</v>
      </c>
      <c r="B466" s="148" t="s">
        <v>1617</v>
      </c>
      <c r="C466" s="586">
        <f>477.81*1.1*1.1</f>
        <v>578.1501000000001</v>
      </c>
      <c r="D466" s="149">
        <f t="shared" si="18"/>
        <v>682.217118</v>
      </c>
    </row>
    <row r="467" spans="1:4" ht="12.75">
      <c r="A467" s="272" t="s">
        <v>2151</v>
      </c>
      <c r="B467" s="148" t="s">
        <v>1620</v>
      </c>
      <c r="C467" s="586">
        <f>159.27*1.1*1.1</f>
        <v>192.71670000000006</v>
      </c>
      <c r="D467" s="149">
        <f t="shared" si="18"/>
        <v>227.40570600000007</v>
      </c>
    </row>
    <row r="468" spans="1:4" ht="12.75">
      <c r="A468" s="272" t="s">
        <v>2152</v>
      </c>
      <c r="B468" s="148" t="s">
        <v>1621</v>
      </c>
      <c r="C468" s="586">
        <f>597.27*1.1*1.1</f>
        <v>722.6967000000002</v>
      </c>
      <c r="D468" s="149">
        <f t="shared" si="18"/>
        <v>852.7821060000002</v>
      </c>
    </row>
    <row r="469" spans="1:4" ht="12.75">
      <c r="A469" s="272" t="s">
        <v>2153</v>
      </c>
      <c r="B469" s="148" t="s">
        <v>841</v>
      </c>
      <c r="C469" s="586">
        <f>637.08*1.1*1.1</f>
        <v>770.8668000000002</v>
      </c>
      <c r="D469" s="149">
        <f t="shared" si="18"/>
        <v>909.6228240000003</v>
      </c>
    </row>
    <row r="470" spans="1:4" ht="12.75">
      <c r="A470" s="272" t="s">
        <v>2154</v>
      </c>
      <c r="B470" s="148" t="s">
        <v>1622</v>
      </c>
      <c r="C470" s="586">
        <f>398.18*1.1*1.1</f>
        <v>481.7978000000001</v>
      </c>
      <c r="D470" s="149">
        <f t="shared" si="18"/>
        <v>568.5214040000001</v>
      </c>
    </row>
    <row r="471" spans="1:4" ht="12.75">
      <c r="A471" s="272" t="s">
        <v>2155</v>
      </c>
      <c r="B471" s="148" t="s">
        <v>1623</v>
      </c>
      <c r="C471" s="586">
        <f>318.54*1.1*1.1</f>
        <v>385.4334000000001</v>
      </c>
      <c r="D471" s="149">
        <f t="shared" si="18"/>
        <v>454.81141200000013</v>
      </c>
    </row>
    <row r="472" spans="1:4" ht="12.75">
      <c r="A472" s="272" t="s">
        <v>2156</v>
      </c>
      <c r="B472" s="148" t="s">
        <v>1624</v>
      </c>
      <c r="C472" s="586">
        <f>318.54*1.1*1.1</f>
        <v>385.4334000000001</v>
      </c>
      <c r="D472" s="149">
        <f t="shared" si="18"/>
        <v>454.81141200000013</v>
      </c>
    </row>
    <row r="473" spans="1:4" ht="12.75">
      <c r="A473" s="272" t="s">
        <v>2157</v>
      </c>
      <c r="B473" s="148" t="s">
        <v>1845</v>
      </c>
      <c r="C473" s="586">
        <f>637.08*1.1*1.1</f>
        <v>770.8668000000002</v>
      </c>
      <c r="D473" s="149">
        <f t="shared" si="18"/>
        <v>909.6228240000003</v>
      </c>
    </row>
    <row r="474" spans="1:4" ht="12.75">
      <c r="A474" s="272" t="s">
        <v>2158</v>
      </c>
      <c r="B474" s="148" t="s">
        <v>1846</v>
      </c>
      <c r="C474" s="586">
        <f>238.91*1.1*1.1</f>
        <v>289.08110000000005</v>
      </c>
      <c r="D474" s="149">
        <f t="shared" si="18"/>
        <v>341.11569800000007</v>
      </c>
    </row>
    <row r="475" spans="1:4" ht="12.75">
      <c r="A475" s="272" t="s">
        <v>2159</v>
      </c>
      <c r="B475" s="148" t="s">
        <v>1847</v>
      </c>
      <c r="C475" s="586">
        <f>318.54*1.1*1.1</f>
        <v>385.4334000000001</v>
      </c>
      <c r="D475" s="149">
        <f t="shared" si="18"/>
        <v>454.81141200000013</v>
      </c>
    </row>
    <row r="476" spans="1:4" ht="12.75">
      <c r="A476" s="272" t="s">
        <v>2160</v>
      </c>
      <c r="B476" s="148" t="s">
        <v>1848</v>
      </c>
      <c r="C476" s="586">
        <f>350.4*1.1*1.1</f>
        <v>423.98400000000004</v>
      </c>
      <c r="D476" s="149">
        <f t="shared" si="18"/>
        <v>500.30112</v>
      </c>
    </row>
    <row r="477" spans="1:4" ht="12.75">
      <c r="A477" s="272" t="s">
        <v>2161</v>
      </c>
      <c r="B477" s="148" t="s">
        <v>2571</v>
      </c>
      <c r="C477" s="586">
        <f>350.4*1.1*1.1</f>
        <v>423.98400000000004</v>
      </c>
      <c r="D477" s="149">
        <f t="shared" si="18"/>
        <v>500.30112</v>
      </c>
    </row>
    <row r="478" spans="1:4" ht="12.75">
      <c r="A478" s="272" t="s">
        <v>2162</v>
      </c>
      <c r="B478" s="148" t="s">
        <v>2599</v>
      </c>
      <c r="C478" s="586">
        <f aca="true" t="shared" si="19" ref="C478:C493">191.13*1.1*1.1</f>
        <v>231.26730000000003</v>
      </c>
      <c r="D478" s="149">
        <f t="shared" si="18"/>
        <v>272.895414</v>
      </c>
    </row>
    <row r="479" spans="1:4" ht="12.75">
      <c r="A479" s="272" t="s">
        <v>2163</v>
      </c>
      <c r="B479" s="148" t="s">
        <v>2600</v>
      </c>
      <c r="C479" s="586">
        <f t="shared" si="19"/>
        <v>231.26730000000003</v>
      </c>
      <c r="D479" s="149">
        <f t="shared" si="18"/>
        <v>272.895414</v>
      </c>
    </row>
    <row r="480" spans="1:4" ht="12.75">
      <c r="A480" s="272" t="s">
        <v>2164</v>
      </c>
      <c r="B480" s="148" t="s">
        <v>2601</v>
      </c>
      <c r="C480" s="586">
        <f t="shared" si="19"/>
        <v>231.26730000000003</v>
      </c>
      <c r="D480" s="149">
        <f t="shared" si="18"/>
        <v>272.895414</v>
      </c>
    </row>
    <row r="481" spans="1:4" ht="12.75">
      <c r="A481" s="272" t="s">
        <v>2165</v>
      </c>
      <c r="B481" s="148" t="s">
        <v>2602</v>
      </c>
      <c r="C481" s="586">
        <f t="shared" si="19"/>
        <v>231.26730000000003</v>
      </c>
      <c r="D481" s="149">
        <f t="shared" si="18"/>
        <v>272.895414</v>
      </c>
    </row>
    <row r="482" spans="1:4" ht="12.75">
      <c r="A482" s="272" t="s">
        <v>2166</v>
      </c>
      <c r="B482" s="148" t="s">
        <v>2603</v>
      </c>
      <c r="C482" s="586">
        <f t="shared" si="19"/>
        <v>231.26730000000003</v>
      </c>
      <c r="D482" s="149">
        <f t="shared" si="18"/>
        <v>272.895414</v>
      </c>
    </row>
    <row r="483" spans="1:4" ht="12.75">
      <c r="A483" s="318" t="s">
        <v>2167</v>
      </c>
      <c r="B483" s="148" t="s">
        <v>2604</v>
      </c>
      <c r="C483" s="586">
        <f t="shared" si="19"/>
        <v>231.26730000000003</v>
      </c>
      <c r="D483" s="149">
        <f t="shared" si="18"/>
        <v>272.895414</v>
      </c>
    </row>
    <row r="484" spans="1:4" ht="12.75">
      <c r="A484" s="272" t="s">
        <v>2168</v>
      </c>
      <c r="B484" s="148" t="s">
        <v>416</v>
      </c>
      <c r="C484" s="586">
        <f t="shared" si="19"/>
        <v>231.26730000000003</v>
      </c>
      <c r="D484" s="149">
        <f t="shared" si="18"/>
        <v>272.895414</v>
      </c>
    </row>
    <row r="485" spans="1:4" ht="12.75">
      <c r="A485" s="272" t="s">
        <v>2169</v>
      </c>
      <c r="B485" s="148" t="s">
        <v>1087</v>
      </c>
      <c r="C485" s="586">
        <f t="shared" si="19"/>
        <v>231.26730000000003</v>
      </c>
      <c r="D485" s="149">
        <f t="shared" si="18"/>
        <v>272.895414</v>
      </c>
    </row>
    <row r="486" spans="1:4" ht="12.75">
      <c r="A486" s="272" t="s">
        <v>2170</v>
      </c>
      <c r="B486" s="148" t="s">
        <v>1088</v>
      </c>
      <c r="C486" s="586">
        <f t="shared" si="19"/>
        <v>231.26730000000003</v>
      </c>
      <c r="D486" s="149">
        <f t="shared" si="18"/>
        <v>272.895414</v>
      </c>
    </row>
    <row r="487" spans="1:4" ht="12.75">
      <c r="A487" s="272" t="s">
        <v>2171</v>
      </c>
      <c r="B487" s="148" t="s">
        <v>1089</v>
      </c>
      <c r="C487" s="586">
        <f t="shared" si="19"/>
        <v>231.26730000000003</v>
      </c>
      <c r="D487" s="149">
        <f t="shared" si="18"/>
        <v>272.895414</v>
      </c>
    </row>
    <row r="488" spans="1:4" ht="12.75">
      <c r="A488" s="272" t="s">
        <v>2172</v>
      </c>
      <c r="B488" s="148" t="s">
        <v>1090</v>
      </c>
      <c r="C488" s="586">
        <f t="shared" si="19"/>
        <v>231.26730000000003</v>
      </c>
      <c r="D488" s="149">
        <f t="shared" si="18"/>
        <v>272.895414</v>
      </c>
    </row>
    <row r="489" spans="1:4" ht="12.75">
      <c r="A489" s="272" t="s">
        <v>2173</v>
      </c>
      <c r="B489" s="148" t="s">
        <v>1091</v>
      </c>
      <c r="C489" s="586">
        <f t="shared" si="19"/>
        <v>231.26730000000003</v>
      </c>
      <c r="D489" s="149">
        <f t="shared" si="18"/>
        <v>272.895414</v>
      </c>
    </row>
    <row r="490" spans="1:4" ht="12.75">
      <c r="A490" s="272" t="s">
        <v>2174</v>
      </c>
      <c r="B490" s="148" t="s">
        <v>1439</v>
      </c>
      <c r="C490" s="586">
        <f t="shared" si="19"/>
        <v>231.26730000000003</v>
      </c>
      <c r="D490" s="149">
        <f t="shared" si="18"/>
        <v>272.895414</v>
      </c>
    </row>
    <row r="491" spans="1:4" ht="12.75">
      <c r="A491" s="272" t="s">
        <v>2175</v>
      </c>
      <c r="B491" s="148" t="s">
        <v>1440</v>
      </c>
      <c r="C491" s="586">
        <f t="shared" si="19"/>
        <v>231.26730000000003</v>
      </c>
      <c r="D491" s="149">
        <f t="shared" si="18"/>
        <v>272.895414</v>
      </c>
    </row>
    <row r="492" spans="1:4" ht="12.75">
      <c r="A492" s="272" t="s">
        <v>2176</v>
      </c>
      <c r="B492" s="148" t="s">
        <v>1441</v>
      </c>
      <c r="C492" s="586">
        <f t="shared" si="19"/>
        <v>231.26730000000003</v>
      </c>
      <c r="D492" s="149">
        <f t="shared" si="18"/>
        <v>272.895414</v>
      </c>
    </row>
    <row r="493" spans="1:4" ht="12.75">
      <c r="A493" s="272" t="s">
        <v>2177</v>
      </c>
      <c r="B493" s="148" t="s">
        <v>1442</v>
      </c>
      <c r="C493" s="586">
        <f t="shared" si="19"/>
        <v>231.26730000000003</v>
      </c>
      <c r="D493" s="149">
        <f t="shared" si="18"/>
        <v>272.895414</v>
      </c>
    </row>
    <row r="494" spans="1:4" ht="12.75">
      <c r="A494" s="272" t="s">
        <v>2178</v>
      </c>
      <c r="B494" s="148" t="s">
        <v>1443</v>
      </c>
      <c r="C494" s="586">
        <f>229.35*1.1*1.1</f>
        <v>277.5135</v>
      </c>
      <c r="D494" s="149">
        <f t="shared" si="18"/>
        <v>327.46593</v>
      </c>
    </row>
    <row r="495" spans="1:4" ht="12.75">
      <c r="A495" s="272" t="s">
        <v>2179</v>
      </c>
      <c r="B495" s="148" t="s">
        <v>1444</v>
      </c>
      <c r="C495" s="586">
        <f>191.13*1.1*1.1</f>
        <v>231.26730000000003</v>
      </c>
      <c r="D495" s="149">
        <f t="shared" si="18"/>
        <v>272.895414</v>
      </c>
    </row>
    <row r="496" spans="1:4" ht="12.75">
      <c r="A496" s="272" t="s">
        <v>2180</v>
      </c>
      <c r="B496" s="148" t="s">
        <v>1445</v>
      </c>
      <c r="C496" s="586">
        <f>159.27*1.1*1.1</f>
        <v>192.71670000000006</v>
      </c>
      <c r="D496" s="149">
        <f t="shared" si="18"/>
        <v>227.40570600000007</v>
      </c>
    </row>
    <row r="497" spans="1:4" ht="12.75">
      <c r="A497" s="272" t="s">
        <v>2181</v>
      </c>
      <c r="B497" s="148" t="s">
        <v>1446</v>
      </c>
      <c r="C497" s="586">
        <f aca="true" t="shared" si="20" ref="C497:C508">191.13*1.1*1.1</f>
        <v>231.26730000000003</v>
      </c>
      <c r="D497" s="149">
        <f t="shared" si="18"/>
        <v>272.895414</v>
      </c>
    </row>
    <row r="498" spans="1:4" ht="12.75">
      <c r="A498" s="272" t="s">
        <v>2182</v>
      </c>
      <c r="B498" s="148" t="s">
        <v>1447</v>
      </c>
      <c r="C498" s="586">
        <f t="shared" si="20"/>
        <v>231.26730000000003</v>
      </c>
      <c r="D498" s="149">
        <f t="shared" si="18"/>
        <v>272.895414</v>
      </c>
    </row>
    <row r="499" spans="1:4" ht="12.75">
      <c r="A499" s="272" t="s">
        <v>2183</v>
      </c>
      <c r="B499" s="148" t="s">
        <v>2236</v>
      </c>
      <c r="C499" s="586">
        <f t="shared" si="20"/>
        <v>231.26730000000003</v>
      </c>
      <c r="D499" s="149">
        <f t="shared" si="18"/>
        <v>272.895414</v>
      </c>
    </row>
    <row r="500" spans="1:4" ht="12.75">
      <c r="A500" s="272" t="s">
        <v>2184</v>
      </c>
      <c r="B500" s="148" t="s">
        <v>2237</v>
      </c>
      <c r="C500" s="586">
        <f t="shared" si="20"/>
        <v>231.26730000000003</v>
      </c>
      <c r="D500" s="149">
        <f t="shared" si="18"/>
        <v>272.895414</v>
      </c>
    </row>
    <row r="501" spans="1:4" ht="12.75">
      <c r="A501" s="272" t="s">
        <v>2185</v>
      </c>
      <c r="B501" s="148" t="s">
        <v>2238</v>
      </c>
      <c r="C501" s="586">
        <f t="shared" si="20"/>
        <v>231.26730000000003</v>
      </c>
      <c r="D501" s="149">
        <f t="shared" si="18"/>
        <v>272.895414</v>
      </c>
    </row>
    <row r="502" spans="1:4" ht="12.75">
      <c r="A502" s="272" t="s">
        <v>2186</v>
      </c>
      <c r="B502" s="148" t="s">
        <v>2239</v>
      </c>
      <c r="C502" s="586">
        <f t="shared" si="20"/>
        <v>231.26730000000003</v>
      </c>
      <c r="D502" s="149">
        <f t="shared" si="18"/>
        <v>272.895414</v>
      </c>
    </row>
    <row r="503" spans="1:4" ht="12.75">
      <c r="A503" s="272" t="s">
        <v>458</v>
      </c>
      <c r="B503" s="148" t="s">
        <v>2240</v>
      </c>
      <c r="C503" s="586">
        <f t="shared" si="20"/>
        <v>231.26730000000003</v>
      </c>
      <c r="D503" s="149">
        <f t="shared" si="18"/>
        <v>272.895414</v>
      </c>
    </row>
    <row r="504" spans="1:4" ht="12.75">
      <c r="A504" s="272" t="s">
        <v>459</v>
      </c>
      <c r="B504" s="148" t="s">
        <v>2241</v>
      </c>
      <c r="C504" s="586">
        <f t="shared" si="20"/>
        <v>231.26730000000003</v>
      </c>
      <c r="D504" s="149">
        <f t="shared" si="18"/>
        <v>272.895414</v>
      </c>
    </row>
    <row r="505" spans="1:4" ht="12.75">
      <c r="A505" s="272" t="s">
        <v>460</v>
      </c>
      <c r="B505" s="148" t="s">
        <v>2242</v>
      </c>
      <c r="C505" s="586">
        <f t="shared" si="20"/>
        <v>231.26730000000003</v>
      </c>
      <c r="D505" s="149">
        <f aca="true" t="shared" si="21" ref="D505:D577">C505*1.18</f>
        <v>272.895414</v>
      </c>
    </row>
    <row r="506" spans="1:4" ht="12.75">
      <c r="A506" s="272" t="s">
        <v>461</v>
      </c>
      <c r="B506" s="148" t="s">
        <v>2243</v>
      </c>
      <c r="C506" s="586">
        <f t="shared" si="20"/>
        <v>231.26730000000003</v>
      </c>
      <c r="D506" s="149">
        <f t="shared" si="21"/>
        <v>272.895414</v>
      </c>
    </row>
    <row r="507" spans="1:4" ht="12.75">
      <c r="A507" s="272" t="s">
        <v>462</v>
      </c>
      <c r="B507" s="148" t="s">
        <v>2244</v>
      </c>
      <c r="C507" s="586">
        <f t="shared" si="20"/>
        <v>231.26730000000003</v>
      </c>
      <c r="D507" s="149">
        <f t="shared" si="21"/>
        <v>272.895414</v>
      </c>
    </row>
    <row r="508" spans="1:4" ht="12.75">
      <c r="A508" s="272" t="s">
        <v>463</v>
      </c>
      <c r="B508" s="148" t="s">
        <v>2245</v>
      </c>
      <c r="C508" s="586">
        <f t="shared" si="20"/>
        <v>231.26730000000003</v>
      </c>
      <c r="D508" s="149">
        <f t="shared" si="21"/>
        <v>272.895414</v>
      </c>
    </row>
    <row r="509" spans="1:4" ht="12.75">
      <c r="A509" s="319" t="s">
        <v>464</v>
      </c>
      <c r="B509" s="148" t="s">
        <v>792</v>
      </c>
      <c r="C509" s="586">
        <f>133.79*1.1*1.1</f>
        <v>161.88590000000002</v>
      </c>
      <c r="D509" s="149">
        <f t="shared" si="21"/>
        <v>191.025362</v>
      </c>
    </row>
    <row r="510" spans="1:4" ht="12.75">
      <c r="A510" s="272" t="s">
        <v>465</v>
      </c>
      <c r="B510" s="148" t="s">
        <v>793</v>
      </c>
      <c r="C510" s="586">
        <f>39.82*1.1*1.1</f>
        <v>48.18220000000001</v>
      </c>
      <c r="D510" s="149">
        <f t="shared" si="21"/>
        <v>56.85499600000001</v>
      </c>
    </row>
    <row r="511" spans="1:4" s="364" customFormat="1" ht="12.75">
      <c r="A511" s="272" t="s">
        <v>466</v>
      </c>
      <c r="B511" s="148" t="s">
        <v>794</v>
      </c>
      <c r="C511" s="586">
        <f>159.27*1.1*1.1</f>
        <v>192.71670000000006</v>
      </c>
      <c r="D511" s="149">
        <f t="shared" si="21"/>
        <v>227.40570600000007</v>
      </c>
    </row>
    <row r="512" spans="1:4" ht="12.75">
      <c r="A512" s="579" t="s">
        <v>467</v>
      </c>
      <c r="B512" s="148" t="s">
        <v>795</v>
      </c>
      <c r="C512" s="586">
        <f>111.49*1.1*1.1</f>
        <v>134.90290000000002</v>
      </c>
      <c r="D512" s="149">
        <f t="shared" si="21"/>
        <v>159.18542200000002</v>
      </c>
    </row>
    <row r="513" spans="1:4" ht="12.75">
      <c r="A513" s="272" t="s">
        <v>468</v>
      </c>
      <c r="B513" s="148" t="s">
        <v>796</v>
      </c>
      <c r="C513" s="586">
        <f>477.81*1.1*1.1</f>
        <v>578.1501000000001</v>
      </c>
      <c r="D513" s="149">
        <f t="shared" si="21"/>
        <v>682.217118</v>
      </c>
    </row>
    <row r="514" spans="1:4" ht="39" customHeight="1">
      <c r="A514" s="272" t="s">
        <v>469</v>
      </c>
      <c r="B514" s="192" t="s">
        <v>797</v>
      </c>
      <c r="C514" s="586">
        <f>748.57*1.1*1.1</f>
        <v>905.7697000000002</v>
      </c>
      <c r="D514" s="580">
        <f t="shared" si="21"/>
        <v>1068.808246</v>
      </c>
    </row>
    <row r="515" spans="1:4" ht="12.75">
      <c r="A515" s="272" t="s">
        <v>470</v>
      </c>
      <c r="B515" s="148" t="s">
        <v>3361</v>
      </c>
      <c r="C515" s="586">
        <f>477.81*1.1*1.1</f>
        <v>578.1501000000001</v>
      </c>
      <c r="D515" s="149">
        <f t="shared" si="21"/>
        <v>682.217118</v>
      </c>
    </row>
    <row r="516" spans="1:4" ht="12.75">
      <c r="A516" s="318" t="s">
        <v>471</v>
      </c>
      <c r="B516" s="148" t="s">
        <v>799</v>
      </c>
      <c r="C516" s="586">
        <f>63.71*1.1*1.1</f>
        <v>77.08910000000002</v>
      </c>
      <c r="D516" s="149">
        <f t="shared" si="21"/>
        <v>90.96513800000001</v>
      </c>
    </row>
    <row r="517" spans="1:4" ht="25.5">
      <c r="A517" s="318" t="s">
        <v>472</v>
      </c>
      <c r="B517" s="148" t="s">
        <v>3362</v>
      </c>
      <c r="C517" s="586">
        <f>1041.63*1.1*1.1</f>
        <v>1260.3723000000002</v>
      </c>
      <c r="D517" s="173">
        <f t="shared" si="21"/>
        <v>1487.2393140000001</v>
      </c>
    </row>
    <row r="518" spans="1:4" ht="25.5">
      <c r="A518" s="318" t="s">
        <v>473</v>
      </c>
      <c r="B518" s="148" t="s">
        <v>1849</v>
      </c>
      <c r="C518" s="586">
        <f>1089.41*1.1*1.1</f>
        <v>1318.1861000000001</v>
      </c>
      <c r="D518" s="149">
        <f t="shared" si="21"/>
        <v>1555.4595980000001</v>
      </c>
    </row>
    <row r="519" spans="1:4" s="364" customFormat="1" ht="27.75" customHeight="1">
      <c r="A519" s="601" t="s">
        <v>474</v>
      </c>
      <c r="B519" s="367" t="s">
        <v>3363</v>
      </c>
      <c r="C519" s="588">
        <f>191*4.7*1.1*1.1</f>
        <v>1086.2170000000003</v>
      </c>
      <c r="D519" s="366">
        <f t="shared" si="21"/>
        <v>1281.7360600000004</v>
      </c>
    </row>
    <row r="520" spans="1:4" s="364" customFormat="1" ht="12.75">
      <c r="A520" s="600" t="s">
        <v>2647</v>
      </c>
      <c r="B520" s="367" t="s">
        <v>3364</v>
      </c>
      <c r="C520" s="588">
        <f>191*3*1.1*1.1</f>
        <v>693.3300000000002</v>
      </c>
      <c r="D520" s="366">
        <f t="shared" si="21"/>
        <v>818.1294000000001</v>
      </c>
    </row>
    <row r="521" spans="1:4" s="364" customFormat="1" ht="39" customHeight="1">
      <c r="A521" s="600" t="s">
        <v>2648</v>
      </c>
      <c r="B521" s="367" t="s">
        <v>3365</v>
      </c>
      <c r="C521" s="588">
        <f>191*5.3*1.1*1.1</f>
        <v>1224.883</v>
      </c>
      <c r="D521" s="366">
        <f t="shared" si="21"/>
        <v>1445.36194</v>
      </c>
    </row>
    <row r="522" spans="1:4" s="364" customFormat="1" ht="38.25">
      <c r="A522" s="600" t="s">
        <v>2479</v>
      </c>
      <c r="B522" s="367" t="s">
        <v>3366</v>
      </c>
      <c r="C522" s="588">
        <f>191*5.6*1.1*1.1</f>
        <v>1294.2160000000001</v>
      </c>
      <c r="D522" s="366">
        <f t="shared" si="21"/>
        <v>1527.17488</v>
      </c>
    </row>
    <row r="523" spans="1:4" ht="12.75">
      <c r="A523" s="321" t="s">
        <v>2480</v>
      </c>
      <c r="B523" s="148" t="s">
        <v>2066</v>
      </c>
      <c r="C523" s="586">
        <f>238.91*1.1*1.1</f>
        <v>289.08110000000005</v>
      </c>
      <c r="D523" s="149">
        <f t="shared" si="21"/>
        <v>341.11569800000007</v>
      </c>
    </row>
    <row r="524" spans="1:4" ht="12.75">
      <c r="A524" s="594" t="s">
        <v>2481</v>
      </c>
      <c r="B524" s="633" t="s">
        <v>2649</v>
      </c>
      <c r="C524" s="586">
        <f>613.19*1.1*1.1</f>
        <v>741.9599000000002</v>
      </c>
      <c r="D524" s="161">
        <f t="shared" si="21"/>
        <v>875.5126820000002</v>
      </c>
    </row>
    <row r="525" spans="1:4" s="111" customFormat="1" ht="12.75">
      <c r="A525" s="594" t="s">
        <v>3367</v>
      </c>
      <c r="B525" s="633" t="s">
        <v>1031</v>
      </c>
      <c r="C525" s="586">
        <f>613.19*1.1*1.1</f>
        <v>741.9599000000002</v>
      </c>
      <c r="D525" s="161">
        <f t="shared" si="21"/>
        <v>875.5126820000002</v>
      </c>
    </row>
    <row r="526" spans="1:4" ht="25.5">
      <c r="A526" s="594" t="s">
        <v>3368</v>
      </c>
      <c r="B526" s="634" t="s">
        <v>2570</v>
      </c>
      <c r="C526" s="586">
        <f>159.27*1.1*1.1</f>
        <v>192.71670000000006</v>
      </c>
      <c r="D526" s="149">
        <f>C526*1.18</f>
        <v>227.40570600000007</v>
      </c>
    </row>
    <row r="527" spans="1:4" ht="12.75">
      <c r="A527" s="594" t="s">
        <v>3369</v>
      </c>
      <c r="B527" s="634" t="s">
        <v>585</v>
      </c>
      <c r="C527" s="586">
        <f>159.27*1.1*1.1</f>
        <v>192.71670000000006</v>
      </c>
      <c r="D527" s="149">
        <f>C527*1.18</f>
        <v>227.40570600000007</v>
      </c>
    </row>
    <row r="528" spans="1:4" ht="12.75">
      <c r="A528" s="594" t="s">
        <v>3370</v>
      </c>
      <c r="B528" s="634" t="s">
        <v>586</v>
      </c>
      <c r="C528" s="586">
        <f>573.38*1.1*1.1</f>
        <v>693.7898000000001</v>
      </c>
      <c r="D528" s="149">
        <f>C528*1.18</f>
        <v>818.6719640000001</v>
      </c>
    </row>
    <row r="529" spans="1:4" ht="12.75">
      <c r="A529" s="594" t="s">
        <v>3371</v>
      </c>
      <c r="B529" s="634" t="s">
        <v>2482</v>
      </c>
      <c r="C529" s="586">
        <f>95.56*1.1*1.1</f>
        <v>115.62760000000003</v>
      </c>
      <c r="D529" s="149">
        <f>C529*1.18</f>
        <v>136.44056800000004</v>
      </c>
    </row>
    <row r="530" spans="1:4" ht="13.5" thickBot="1">
      <c r="A530" s="594" t="s">
        <v>3372</v>
      </c>
      <c r="B530" s="635" t="s">
        <v>2483</v>
      </c>
      <c r="C530" s="589">
        <f>95.56*1.1*1.1</f>
        <v>115.62760000000003</v>
      </c>
      <c r="D530" s="161">
        <f>C530*1.18</f>
        <v>136.44056800000004</v>
      </c>
    </row>
    <row r="531" spans="1:4" ht="13.5" thickBot="1">
      <c r="A531" s="636" t="s">
        <v>2193</v>
      </c>
      <c r="B531" s="921" t="s">
        <v>574</v>
      </c>
      <c r="C531" s="940"/>
      <c r="D531" s="922"/>
    </row>
    <row r="532" spans="1:4" ht="12.75">
      <c r="A532" s="156" t="s">
        <v>475</v>
      </c>
      <c r="B532" s="341" t="s">
        <v>575</v>
      </c>
      <c r="C532" s="591">
        <f>14.65*1.1*1.1</f>
        <v>17.726500000000005</v>
      </c>
      <c r="D532" s="169">
        <f t="shared" si="21"/>
        <v>20.917270000000006</v>
      </c>
    </row>
    <row r="533" spans="1:4" ht="12.75">
      <c r="A533" s="157" t="s">
        <v>476</v>
      </c>
      <c r="B533" s="148" t="s">
        <v>576</v>
      </c>
      <c r="C533" s="586">
        <f>29.31*1.1*1.1</f>
        <v>35.4651</v>
      </c>
      <c r="D533" s="149">
        <f t="shared" si="21"/>
        <v>41.848817999999994</v>
      </c>
    </row>
    <row r="534" spans="1:4" ht="12.75">
      <c r="A534" s="157" t="s">
        <v>477</v>
      </c>
      <c r="B534" s="148" t="s">
        <v>577</v>
      </c>
      <c r="C534" s="586">
        <f>25.48*1.1*1.1</f>
        <v>30.830800000000004</v>
      </c>
      <c r="D534" s="149">
        <f t="shared" si="21"/>
        <v>36.380344</v>
      </c>
    </row>
    <row r="535" spans="1:4" ht="12.75">
      <c r="A535" s="157" t="s">
        <v>478</v>
      </c>
      <c r="B535" s="148" t="s">
        <v>578</v>
      </c>
      <c r="C535" s="586">
        <f>45.79*1.1*1.1</f>
        <v>55.4059</v>
      </c>
      <c r="D535" s="149">
        <f t="shared" si="21"/>
        <v>65.378962</v>
      </c>
    </row>
    <row r="536" spans="1:4" ht="12.75">
      <c r="A536" s="157" t="s">
        <v>479</v>
      </c>
      <c r="B536" s="148" t="s">
        <v>579</v>
      </c>
      <c r="C536" s="586">
        <f>60.44*1.1*1.1</f>
        <v>73.13240000000002</v>
      </c>
      <c r="D536" s="149">
        <f t="shared" si="21"/>
        <v>86.29623200000002</v>
      </c>
    </row>
    <row r="537" spans="1:4" ht="12.75">
      <c r="A537" s="157" t="s">
        <v>480</v>
      </c>
      <c r="B537" s="148" t="s">
        <v>580</v>
      </c>
      <c r="C537" s="586">
        <f>14.65*1.1*1.1</f>
        <v>17.726500000000005</v>
      </c>
      <c r="D537" s="149">
        <f t="shared" si="21"/>
        <v>20.917270000000006</v>
      </c>
    </row>
    <row r="538" spans="1:4" s="111" customFormat="1" ht="12.75">
      <c r="A538" s="157" t="s">
        <v>481</v>
      </c>
      <c r="B538" s="148" t="s">
        <v>581</v>
      </c>
      <c r="C538" s="586">
        <f>14.65*1.1*1.1</f>
        <v>17.726500000000005</v>
      </c>
      <c r="D538" s="149">
        <f t="shared" si="21"/>
        <v>20.917270000000006</v>
      </c>
    </row>
    <row r="539" spans="1:4" ht="12.75">
      <c r="A539" s="157" t="s">
        <v>482</v>
      </c>
      <c r="B539" s="148" t="s">
        <v>582</v>
      </c>
      <c r="C539" s="586">
        <f>31.14*1.1*1.1</f>
        <v>37.67940000000001</v>
      </c>
      <c r="D539" s="149">
        <f t="shared" si="21"/>
        <v>44.461692000000006</v>
      </c>
    </row>
    <row r="540" spans="1:4" ht="12.75">
      <c r="A540" s="157" t="s">
        <v>483</v>
      </c>
      <c r="B540" s="148" t="s">
        <v>2048</v>
      </c>
      <c r="C540" s="586">
        <f>92.38*1.1*1.1</f>
        <v>111.77980000000002</v>
      </c>
      <c r="D540" s="149">
        <f t="shared" si="21"/>
        <v>131.90016400000002</v>
      </c>
    </row>
    <row r="541" spans="1:4" ht="12.75">
      <c r="A541" s="157" t="s">
        <v>484</v>
      </c>
      <c r="B541" s="148" t="s">
        <v>583</v>
      </c>
      <c r="C541" s="586">
        <f>60.52*1.1*1.1</f>
        <v>73.2292</v>
      </c>
      <c r="D541" s="149">
        <f t="shared" si="21"/>
        <v>86.410456</v>
      </c>
    </row>
    <row r="542" spans="1:4" ht="12.75">
      <c r="A542" s="157" t="s">
        <v>485</v>
      </c>
      <c r="B542" s="148" t="s">
        <v>2046</v>
      </c>
      <c r="C542" s="586">
        <f>159.27*1.1*1.1</f>
        <v>192.71670000000006</v>
      </c>
      <c r="D542" s="149">
        <f t="shared" si="21"/>
        <v>227.40570600000007</v>
      </c>
    </row>
    <row r="543" spans="1:4" ht="13.5" thickBot="1">
      <c r="A543" s="175" t="s">
        <v>486</v>
      </c>
      <c r="B543" s="160" t="s">
        <v>584</v>
      </c>
      <c r="C543" s="586">
        <f>133.79*1.1*1.1</f>
        <v>161.88590000000002</v>
      </c>
      <c r="D543" s="161">
        <f t="shared" si="21"/>
        <v>191.025362</v>
      </c>
    </row>
    <row r="544" spans="1:4" ht="13.5" thickBot="1">
      <c r="A544" s="155" t="s">
        <v>2194</v>
      </c>
      <c r="B544" s="921" t="s">
        <v>2560</v>
      </c>
      <c r="C544" s="940"/>
      <c r="D544" s="922"/>
    </row>
    <row r="545" spans="1:4" ht="12.75">
      <c r="A545" s="156" t="s">
        <v>487</v>
      </c>
      <c r="B545" s="341" t="s">
        <v>575</v>
      </c>
      <c r="C545" s="591">
        <f>14.65*1.1*1.1</f>
        <v>17.726500000000005</v>
      </c>
      <c r="D545" s="169">
        <f t="shared" si="21"/>
        <v>20.917270000000006</v>
      </c>
    </row>
    <row r="546" spans="1:4" ht="12.75">
      <c r="A546" s="157" t="s">
        <v>488</v>
      </c>
      <c r="B546" s="148" t="s">
        <v>576</v>
      </c>
      <c r="C546" s="586">
        <f>29.31*1.1*1.1</f>
        <v>35.4651</v>
      </c>
      <c r="D546" s="149">
        <f t="shared" si="21"/>
        <v>41.848817999999994</v>
      </c>
    </row>
    <row r="547" spans="1:4" ht="12.75">
      <c r="A547" s="157" t="s">
        <v>489</v>
      </c>
      <c r="B547" s="148" t="s">
        <v>577</v>
      </c>
      <c r="C547" s="586">
        <f>25.48*1.1*1.1</f>
        <v>30.830800000000004</v>
      </c>
      <c r="D547" s="149">
        <f t="shared" si="21"/>
        <v>36.380344</v>
      </c>
    </row>
    <row r="548" spans="1:4" ht="12.75">
      <c r="A548" s="157" t="s">
        <v>490</v>
      </c>
      <c r="B548" s="148" t="s">
        <v>578</v>
      </c>
      <c r="C548" s="586">
        <f>45.79*1.1*1.1</f>
        <v>55.4059</v>
      </c>
      <c r="D548" s="149">
        <f t="shared" si="21"/>
        <v>65.378962</v>
      </c>
    </row>
    <row r="549" spans="1:4" ht="12.75">
      <c r="A549" s="157" t="s">
        <v>491</v>
      </c>
      <c r="B549" s="148" t="s">
        <v>579</v>
      </c>
      <c r="C549" s="586">
        <f>60.44*1.1*1.1</f>
        <v>73.13240000000002</v>
      </c>
      <c r="D549" s="149">
        <f t="shared" si="21"/>
        <v>86.29623200000002</v>
      </c>
    </row>
    <row r="550" spans="1:4" ht="12.75">
      <c r="A550" s="157" t="s">
        <v>492</v>
      </c>
      <c r="B550" s="148" t="s">
        <v>580</v>
      </c>
      <c r="C550" s="586">
        <f>14.65*1.1*1.1</f>
        <v>17.726500000000005</v>
      </c>
      <c r="D550" s="149">
        <f t="shared" si="21"/>
        <v>20.917270000000006</v>
      </c>
    </row>
    <row r="551" spans="1:4" ht="12.75">
      <c r="A551" s="157" t="s">
        <v>493</v>
      </c>
      <c r="B551" s="148" t="s">
        <v>581</v>
      </c>
      <c r="C551" s="586">
        <f>14.65*1.1*1.1</f>
        <v>17.726500000000005</v>
      </c>
      <c r="D551" s="149">
        <f t="shared" si="21"/>
        <v>20.917270000000006</v>
      </c>
    </row>
    <row r="552" spans="1:4" ht="12.75">
      <c r="A552" s="158" t="s">
        <v>494</v>
      </c>
      <c r="B552" s="164" t="s">
        <v>582</v>
      </c>
      <c r="C552" s="586">
        <f>31.14*1.1*1.1</f>
        <v>37.67940000000001</v>
      </c>
      <c r="D552" s="149">
        <f t="shared" si="21"/>
        <v>44.461692000000006</v>
      </c>
    </row>
    <row r="553" spans="1:4" ht="12.75">
      <c r="A553" s="157" t="s">
        <v>495</v>
      </c>
      <c r="B553" s="148" t="s">
        <v>2048</v>
      </c>
      <c r="C553" s="586">
        <f>92.38*1.1*1.1</f>
        <v>111.77980000000002</v>
      </c>
      <c r="D553" s="149">
        <f t="shared" si="21"/>
        <v>131.90016400000002</v>
      </c>
    </row>
    <row r="554" spans="1:4" ht="12.75">
      <c r="A554" s="157" t="s">
        <v>496</v>
      </c>
      <c r="B554" s="148" t="s">
        <v>583</v>
      </c>
      <c r="C554" s="586">
        <f>60.52*1.1*1.1</f>
        <v>73.2292</v>
      </c>
      <c r="D554" s="149">
        <f t="shared" si="21"/>
        <v>86.410456</v>
      </c>
    </row>
    <row r="555" spans="1:4" ht="12.75">
      <c r="A555" s="157" t="s">
        <v>497</v>
      </c>
      <c r="B555" s="148" t="s">
        <v>2046</v>
      </c>
      <c r="C555" s="586">
        <f>159.27*1.1*1.1</f>
        <v>192.71670000000006</v>
      </c>
      <c r="D555" s="149">
        <f t="shared" si="21"/>
        <v>227.40570600000007</v>
      </c>
    </row>
    <row r="556" spans="1:4" ht="12.75">
      <c r="A556" s="157" t="s">
        <v>498</v>
      </c>
      <c r="B556" s="148" t="s">
        <v>584</v>
      </c>
      <c r="C556" s="586">
        <f>133.79*1.1*1.1</f>
        <v>161.88590000000002</v>
      </c>
      <c r="D556" s="149">
        <f t="shared" si="21"/>
        <v>191.025362</v>
      </c>
    </row>
    <row r="557" spans="1:4" s="111" customFormat="1" ht="12.75">
      <c r="A557" s="157" t="s">
        <v>499</v>
      </c>
      <c r="B557" s="148" t="s">
        <v>2561</v>
      </c>
      <c r="C557" s="586">
        <f>111.49*1.1*1.1</f>
        <v>134.90290000000002</v>
      </c>
      <c r="D557" s="149">
        <f t="shared" si="21"/>
        <v>159.18542200000002</v>
      </c>
    </row>
    <row r="558" spans="1:4" ht="12.75">
      <c r="A558" s="157" t="s">
        <v>500</v>
      </c>
      <c r="B558" s="148" t="s">
        <v>2562</v>
      </c>
      <c r="C558" s="586">
        <f>111.49*1.1*1.1</f>
        <v>134.90290000000002</v>
      </c>
      <c r="D558" s="149">
        <f t="shared" si="21"/>
        <v>159.18542200000002</v>
      </c>
    </row>
    <row r="559" spans="1:4" ht="12.75">
      <c r="A559" s="157" t="s">
        <v>501</v>
      </c>
      <c r="B559" s="148" t="s">
        <v>798</v>
      </c>
      <c r="C559" s="586">
        <f>477.81*1.1*1.1</f>
        <v>578.1501000000001</v>
      </c>
      <c r="D559" s="149">
        <f t="shared" si="21"/>
        <v>682.217118</v>
      </c>
    </row>
    <row r="560" spans="1:4" ht="12.75">
      <c r="A560" s="157" t="s">
        <v>502</v>
      </c>
      <c r="B560" s="148" t="s">
        <v>796</v>
      </c>
      <c r="C560" s="586">
        <f>477.81*1.1*1.1</f>
        <v>578.1501000000001</v>
      </c>
      <c r="D560" s="149">
        <f t="shared" si="21"/>
        <v>682.217118</v>
      </c>
    </row>
    <row r="561" spans="1:4" ht="12.75">
      <c r="A561" s="157" t="s">
        <v>503</v>
      </c>
      <c r="B561" s="148" t="s">
        <v>2563</v>
      </c>
      <c r="C561" s="586">
        <f>144.94*1.1*1.1</f>
        <v>175.37740000000002</v>
      </c>
      <c r="D561" s="149">
        <f t="shared" si="21"/>
        <v>206.945332</v>
      </c>
    </row>
    <row r="562" spans="1:4" ht="13.5" thickBot="1">
      <c r="A562" s="157" t="s">
        <v>504</v>
      </c>
      <c r="B562" s="148" t="s">
        <v>799</v>
      </c>
      <c r="C562" s="586">
        <f>63.71*1.1*1.1</f>
        <v>77.08910000000002</v>
      </c>
      <c r="D562" s="149">
        <f t="shared" si="21"/>
        <v>90.96513800000001</v>
      </c>
    </row>
    <row r="563" spans="1:4" ht="13.5" thickBot="1">
      <c r="A563" s="155" t="s">
        <v>2195</v>
      </c>
      <c r="B563" s="921" t="s">
        <v>618</v>
      </c>
      <c r="C563" s="940"/>
      <c r="D563" s="922"/>
    </row>
    <row r="564" spans="1:4" ht="12.75">
      <c r="A564" s="156" t="s">
        <v>505</v>
      </c>
      <c r="B564" s="341" t="s">
        <v>2465</v>
      </c>
      <c r="C564" s="591">
        <f>14.65*1.1*1.1</f>
        <v>17.726500000000005</v>
      </c>
      <c r="D564" s="169">
        <f t="shared" si="21"/>
        <v>20.917270000000006</v>
      </c>
    </row>
    <row r="565" spans="1:4" ht="12.75">
      <c r="A565" s="157" t="s">
        <v>506</v>
      </c>
      <c r="B565" s="148" t="s">
        <v>2460</v>
      </c>
      <c r="C565" s="586">
        <f>29.31*1.1*1.1</f>
        <v>35.4651</v>
      </c>
      <c r="D565" s="149">
        <f t="shared" si="21"/>
        <v>41.848817999999994</v>
      </c>
    </row>
    <row r="566" spans="1:4" ht="12.75">
      <c r="A566" s="157" t="s">
        <v>507</v>
      </c>
      <c r="B566" s="148" t="s">
        <v>2281</v>
      </c>
      <c r="C566" s="586">
        <f>25.48*1.1*1.1</f>
        <v>30.830800000000004</v>
      </c>
      <c r="D566" s="149">
        <f t="shared" si="21"/>
        <v>36.380344</v>
      </c>
    </row>
    <row r="567" spans="1:4" ht="12.75">
      <c r="A567" s="157" t="s">
        <v>508</v>
      </c>
      <c r="B567" s="148" t="s">
        <v>578</v>
      </c>
      <c r="C567" s="586">
        <f>45.79*1.1*1.1</f>
        <v>55.4059</v>
      </c>
      <c r="D567" s="149">
        <f t="shared" si="21"/>
        <v>65.378962</v>
      </c>
    </row>
    <row r="568" spans="1:4" ht="12.75">
      <c r="A568" s="157" t="s">
        <v>509</v>
      </c>
      <c r="B568" s="148" t="s">
        <v>579</v>
      </c>
      <c r="C568" s="586">
        <f>60.44*1.1*1.1</f>
        <v>73.13240000000002</v>
      </c>
      <c r="D568" s="149">
        <f t="shared" si="21"/>
        <v>86.29623200000002</v>
      </c>
    </row>
    <row r="569" spans="1:4" ht="12.75">
      <c r="A569" s="157" t="s">
        <v>510</v>
      </c>
      <c r="B569" s="148" t="s">
        <v>619</v>
      </c>
      <c r="C569" s="586">
        <f>14.65*1.1*1.1</f>
        <v>17.726500000000005</v>
      </c>
      <c r="D569" s="149">
        <f t="shared" si="21"/>
        <v>20.917270000000006</v>
      </c>
    </row>
    <row r="570" spans="1:4" ht="12.75">
      <c r="A570" s="157" t="s">
        <v>511</v>
      </c>
      <c r="B570" s="148" t="s">
        <v>620</v>
      </c>
      <c r="C570" s="586">
        <f>14.65*1.1*1.1</f>
        <v>17.726500000000005</v>
      </c>
      <c r="D570" s="149">
        <f t="shared" si="21"/>
        <v>20.917270000000006</v>
      </c>
    </row>
    <row r="571" spans="1:4" ht="12.75">
      <c r="A571" s="157" t="s">
        <v>512</v>
      </c>
      <c r="B571" s="148" t="s">
        <v>621</v>
      </c>
      <c r="C571" s="586">
        <f>31.14*1.1*1.1</f>
        <v>37.67940000000001</v>
      </c>
      <c r="D571" s="149">
        <f t="shared" si="21"/>
        <v>44.461692000000006</v>
      </c>
    </row>
    <row r="572" spans="1:4" ht="12.75">
      <c r="A572" s="157" t="s">
        <v>513</v>
      </c>
      <c r="B572" s="148" t="s">
        <v>2048</v>
      </c>
      <c r="C572" s="586">
        <f>92.38*1.1*1.1</f>
        <v>111.77980000000002</v>
      </c>
      <c r="D572" s="149">
        <f t="shared" si="21"/>
        <v>131.90016400000002</v>
      </c>
    </row>
    <row r="573" spans="1:4" ht="12.75">
      <c r="A573" s="157" t="s">
        <v>514</v>
      </c>
      <c r="B573" s="148" t="s">
        <v>583</v>
      </c>
      <c r="C573" s="586">
        <f>60.52*1.1*1.1</f>
        <v>73.2292</v>
      </c>
      <c r="D573" s="149">
        <f t="shared" si="21"/>
        <v>86.410456</v>
      </c>
    </row>
    <row r="574" spans="1:4" ht="12.75">
      <c r="A574" s="157" t="s">
        <v>515</v>
      </c>
      <c r="B574" s="148" t="s">
        <v>584</v>
      </c>
      <c r="C574" s="586">
        <f>133.79*1.1*1.1</f>
        <v>161.88590000000002</v>
      </c>
      <c r="D574" s="149">
        <f t="shared" si="21"/>
        <v>191.025362</v>
      </c>
    </row>
    <row r="575" spans="1:4" ht="12.75">
      <c r="A575" s="157" t="s">
        <v>516</v>
      </c>
      <c r="B575" s="148" t="s">
        <v>2562</v>
      </c>
      <c r="C575" s="586">
        <f>111.49*1.1*1.1</f>
        <v>134.90290000000002</v>
      </c>
      <c r="D575" s="149">
        <f t="shared" si="21"/>
        <v>159.18542200000002</v>
      </c>
    </row>
    <row r="576" spans="1:4" s="111" customFormat="1" ht="12.75">
      <c r="A576" s="157" t="s">
        <v>517</v>
      </c>
      <c r="B576" s="148" t="s">
        <v>622</v>
      </c>
      <c r="C576" s="586">
        <f>318.54*1.1*1.1</f>
        <v>385.4334000000001</v>
      </c>
      <c r="D576" s="149">
        <f t="shared" si="21"/>
        <v>454.81141200000013</v>
      </c>
    </row>
    <row r="577" spans="1:4" ht="12.75">
      <c r="A577" s="157" t="s">
        <v>518</v>
      </c>
      <c r="B577" s="148" t="s">
        <v>1622</v>
      </c>
      <c r="C577" s="586">
        <f>398.18*1.1*1.1</f>
        <v>481.7978000000001</v>
      </c>
      <c r="D577" s="149">
        <f t="shared" si="21"/>
        <v>568.5214040000001</v>
      </c>
    </row>
    <row r="578" spans="1:4" ht="12.75">
      <c r="A578" s="157" t="s">
        <v>519</v>
      </c>
      <c r="B578" s="148" t="s">
        <v>623</v>
      </c>
      <c r="C578" s="586">
        <f>159.27*1.1*1.1</f>
        <v>192.71670000000006</v>
      </c>
      <c r="D578" s="149">
        <f aca="true" t="shared" si="22" ref="D578:D641">C578*1.18</f>
        <v>227.40570600000007</v>
      </c>
    </row>
    <row r="579" spans="1:4" ht="12.75">
      <c r="A579" s="157" t="s">
        <v>520</v>
      </c>
      <c r="B579" s="148" t="s">
        <v>850</v>
      </c>
      <c r="C579" s="586">
        <f>199.09*1.1*1.1</f>
        <v>240.89890000000005</v>
      </c>
      <c r="D579" s="149">
        <f t="shared" si="22"/>
        <v>284.26070200000004</v>
      </c>
    </row>
    <row r="580" spans="1:4" ht="12.75">
      <c r="A580" s="157" t="s">
        <v>521</v>
      </c>
      <c r="B580" s="148" t="s">
        <v>846</v>
      </c>
      <c r="C580" s="586">
        <f>254.2*1.1*1.1</f>
        <v>307.58200000000005</v>
      </c>
      <c r="D580" s="149">
        <f t="shared" si="22"/>
        <v>362.94676000000004</v>
      </c>
    </row>
    <row r="581" spans="1:4" s="111" customFormat="1" ht="15.75" customHeight="1" thickBot="1">
      <c r="A581" s="163" t="s">
        <v>522</v>
      </c>
      <c r="B581" s="160" t="s">
        <v>799</v>
      </c>
      <c r="C581" s="589">
        <f>63.71*1.1*1.1</f>
        <v>77.08910000000002</v>
      </c>
      <c r="D581" s="161">
        <f t="shared" si="22"/>
        <v>90.96513800000001</v>
      </c>
    </row>
    <row r="582" spans="1:4" ht="13.5" thickBot="1">
      <c r="A582" s="306" t="s">
        <v>2196</v>
      </c>
      <c r="B582" s="921" t="s">
        <v>523</v>
      </c>
      <c r="C582" s="940"/>
      <c r="D582" s="922"/>
    </row>
    <row r="583" spans="1:4" ht="12.75">
      <c r="A583" s="156" t="s">
        <v>524</v>
      </c>
      <c r="B583" s="341" t="s">
        <v>2044</v>
      </c>
      <c r="C583" s="591">
        <f>238.91*1.1*1.1</f>
        <v>289.08110000000005</v>
      </c>
      <c r="D583" s="169">
        <f t="shared" si="22"/>
        <v>341.11569800000007</v>
      </c>
    </row>
    <row r="584" spans="1:4" ht="12.75">
      <c r="A584" s="157" t="s">
        <v>525</v>
      </c>
      <c r="B584" s="148" t="s">
        <v>846</v>
      </c>
      <c r="C584" s="586">
        <f>211.83*1.1*1.1</f>
        <v>256.31430000000006</v>
      </c>
      <c r="D584" s="149">
        <f t="shared" si="22"/>
        <v>302.45087400000006</v>
      </c>
    </row>
    <row r="585" spans="1:4" ht="12.75">
      <c r="A585" s="157" t="s">
        <v>526</v>
      </c>
      <c r="B585" s="148" t="s">
        <v>2046</v>
      </c>
      <c r="C585" s="586">
        <f>159.27*1.1*1.1</f>
        <v>192.71670000000006</v>
      </c>
      <c r="D585" s="149">
        <f t="shared" si="22"/>
        <v>227.40570600000007</v>
      </c>
    </row>
    <row r="586" spans="1:4" ht="13.5" thickBot="1">
      <c r="A586" s="345" t="s">
        <v>527</v>
      </c>
      <c r="B586" s="148" t="s">
        <v>584</v>
      </c>
      <c r="C586" s="586">
        <f>133.79*1.1*1.1</f>
        <v>161.88590000000002</v>
      </c>
      <c r="D586" s="149">
        <f t="shared" si="22"/>
        <v>191.025362</v>
      </c>
    </row>
    <row r="587" spans="1:4" ht="13.5" thickBot="1">
      <c r="A587" s="155" t="s">
        <v>528</v>
      </c>
      <c r="B587" s="921" t="s">
        <v>3373</v>
      </c>
      <c r="C587" s="940"/>
      <c r="D587" s="922"/>
    </row>
    <row r="588" spans="1:4" ht="12.75">
      <c r="A588" s="156" t="s">
        <v>529</v>
      </c>
      <c r="B588" s="341" t="s">
        <v>580</v>
      </c>
      <c r="C588" s="591">
        <f>12.74*1.1*1.1</f>
        <v>15.415400000000002</v>
      </c>
      <c r="D588" s="169">
        <f t="shared" si="22"/>
        <v>18.190172</v>
      </c>
    </row>
    <row r="589" spans="1:4" ht="12.75">
      <c r="A589" s="157" t="s">
        <v>530</v>
      </c>
      <c r="B589" s="148" t="s">
        <v>581</v>
      </c>
      <c r="C589" s="586">
        <f>12.74*1.1*1.1</f>
        <v>15.415400000000002</v>
      </c>
      <c r="D589" s="149">
        <f t="shared" si="22"/>
        <v>18.190172</v>
      </c>
    </row>
    <row r="590" spans="1:4" ht="12.75">
      <c r="A590" s="157" t="s">
        <v>531</v>
      </c>
      <c r="B590" s="148" t="s">
        <v>832</v>
      </c>
      <c r="C590" s="586">
        <f>25.48*1.1*1.1</f>
        <v>30.830800000000004</v>
      </c>
      <c r="D590" s="149">
        <f t="shared" si="22"/>
        <v>36.380344</v>
      </c>
    </row>
    <row r="591" spans="1:4" ht="12.75">
      <c r="A591" s="157" t="s">
        <v>532</v>
      </c>
      <c r="B591" s="148" t="s">
        <v>833</v>
      </c>
      <c r="C591" s="586">
        <f>25.48*1.1*1.1</f>
        <v>30.830800000000004</v>
      </c>
      <c r="D591" s="149">
        <f t="shared" si="22"/>
        <v>36.380344</v>
      </c>
    </row>
    <row r="592" spans="1:4" ht="12.75">
      <c r="A592" s="157" t="s">
        <v>533</v>
      </c>
      <c r="B592" s="148" t="s">
        <v>582</v>
      </c>
      <c r="C592" s="586">
        <f>31.14*1.1*1.1</f>
        <v>37.67940000000001</v>
      </c>
      <c r="D592" s="149">
        <f t="shared" si="22"/>
        <v>44.461692000000006</v>
      </c>
    </row>
    <row r="593" spans="1:4" ht="12.75">
      <c r="A593" s="157" t="s">
        <v>534</v>
      </c>
      <c r="B593" s="148" t="s">
        <v>2048</v>
      </c>
      <c r="C593" s="586">
        <f>106.23*1.1*1.1</f>
        <v>128.53830000000002</v>
      </c>
      <c r="D593" s="149">
        <f t="shared" si="22"/>
        <v>151.675194</v>
      </c>
    </row>
    <row r="594" spans="1:4" ht="12.75">
      <c r="A594" s="157" t="s">
        <v>535</v>
      </c>
      <c r="B594" s="148" t="s">
        <v>583</v>
      </c>
      <c r="C594" s="586">
        <f>69.6*1.1*1.1</f>
        <v>84.21600000000001</v>
      </c>
      <c r="D594" s="149">
        <f t="shared" si="22"/>
        <v>99.37488</v>
      </c>
    </row>
    <row r="595" spans="1:4" ht="12.75">
      <c r="A595" s="157" t="s">
        <v>883</v>
      </c>
      <c r="B595" s="148" t="s">
        <v>584</v>
      </c>
      <c r="C595" s="586">
        <f>133.79*1.1*1.1</f>
        <v>161.88590000000002</v>
      </c>
      <c r="D595" s="149">
        <f t="shared" si="22"/>
        <v>191.025362</v>
      </c>
    </row>
    <row r="596" spans="1:4" ht="12.75">
      <c r="A596" s="157" t="s">
        <v>884</v>
      </c>
      <c r="B596" s="148" t="s">
        <v>2053</v>
      </c>
      <c r="C596" s="586">
        <f>254.83*1.1*1.1</f>
        <v>308.3443000000001</v>
      </c>
      <c r="D596" s="149">
        <f t="shared" si="22"/>
        <v>363.8462740000001</v>
      </c>
    </row>
    <row r="597" spans="1:4" ht="12.75">
      <c r="A597" s="157" t="s">
        <v>885</v>
      </c>
      <c r="B597" s="148" t="s">
        <v>2681</v>
      </c>
      <c r="C597" s="586">
        <f>159.27*1.1*1.1</f>
        <v>192.71670000000006</v>
      </c>
      <c r="D597" s="149">
        <f t="shared" si="22"/>
        <v>227.40570600000007</v>
      </c>
    </row>
    <row r="598" spans="1:4" ht="12.75">
      <c r="A598" s="157" t="s">
        <v>886</v>
      </c>
      <c r="B598" s="148" t="s">
        <v>2052</v>
      </c>
      <c r="C598" s="586">
        <f>166.68*1.1*1.1</f>
        <v>201.68280000000004</v>
      </c>
      <c r="D598" s="149">
        <f t="shared" si="22"/>
        <v>237.98570400000003</v>
      </c>
    </row>
    <row r="599" spans="1:4" ht="12.75">
      <c r="A599" s="157" t="s">
        <v>887</v>
      </c>
      <c r="B599" s="148" t="s">
        <v>849</v>
      </c>
      <c r="C599" s="586">
        <f>216.61*1.1*1.1</f>
        <v>262.09810000000004</v>
      </c>
      <c r="D599" s="149">
        <f t="shared" si="22"/>
        <v>309.27575800000005</v>
      </c>
    </row>
    <row r="600" spans="1:4" ht="12.75">
      <c r="A600" s="157" t="s">
        <v>887</v>
      </c>
      <c r="B600" s="148" t="s">
        <v>846</v>
      </c>
      <c r="C600" s="586">
        <f>211.83*1.1*1.1</f>
        <v>256.31430000000006</v>
      </c>
      <c r="D600" s="149">
        <f t="shared" si="22"/>
        <v>302.45087400000006</v>
      </c>
    </row>
    <row r="601" spans="1:4" ht="12.75">
      <c r="A601" s="157" t="s">
        <v>888</v>
      </c>
      <c r="B601" s="148" t="s">
        <v>850</v>
      </c>
      <c r="C601" s="586">
        <f>199.09*1.1*1.1</f>
        <v>240.89890000000005</v>
      </c>
      <c r="D601" s="149">
        <f t="shared" si="22"/>
        <v>284.26070200000004</v>
      </c>
    </row>
    <row r="602" spans="1:4" ht="12.75">
      <c r="A602" s="157" t="s">
        <v>889</v>
      </c>
      <c r="B602" s="148" t="s">
        <v>2044</v>
      </c>
      <c r="C602" s="586">
        <f>238.91*1.1*1.1</f>
        <v>289.08110000000005</v>
      </c>
      <c r="D602" s="149">
        <f t="shared" si="22"/>
        <v>341.11569800000007</v>
      </c>
    </row>
    <row r="603" spans="1:4" ht="12.75">
      <c r="A603" s="157" t="s">
        <v>890</v>
      </c>
      <c r="B603" s="148" t="s">
        <v>845</v>
      </c>
      <c r="C603" s="586">
        <f>159.27*1.1*1.1</f>
        <v>192.71670000000006</v>
      </c>
      <c r="D603" s="149">
        <f t="shared" si="22"/>
        <v>227.40570600000007</v>
      </c>
    </row>
    <row r="604" spans="1:4" ht="12.75">
      <c r="A604" s="157" t="s">
        <v>891</v>
      </c>
      <c r="B604" s="148" t="s">
        <v>2051</v>
      </c>
      <c r="C604" s="586">
        <f>312.17*1.1*1.1</f>
        <v>377.7257000000001</v>
      </c>
      <c r="D604" s="149">
        <f t="shared" si="22"/>
        <v>445.71632600000004</v>
      </c>
    </row>
    <row r="605" spans="1:4" ht="12.75">
      <c r="A605" s="157" t="s">
        <v>892</v>
      </c>
      <c r="B605" s="148" t="s">
        <v>2683</v>
      </c>
      <c r="C605" s="586">
        <f>238.91*1.1*1.1</f>
        <v>289.08110000000005</v>
      </c>
      <c r="D605" s="149">
        <f t="shared" si="22"/>
        <v>341.11569800000007</v>
      </c>
    </row>
    <row r="606" spans="1:4" ht="12.75">
      <c r="A606" s="157" t="s">
        <v>893</v>
      </c>
      <c r="B606" s="148" t="s">
        <v>2682</v>
      </c>
      <c r="C606" s="586">
        <f>91.58*1.1*1.1</f>
        <v>110.8118</v>
      </c>
      <c r="D606" s="149">
        <f t="shared" si="22"/>
        <v>130.757924</v>
      </c>
    </row>
    <row r="607" spans="1:4" ht="12.75">
      <c r="A607" s="157" t="s">
        <v>894</v>
      </c>
      <c r="B607" s="148" t="s">
        <v>2684</v>
      </c>
      <c r="C607" s="586">
        <f>238.91*1.1*1.1</f>
        <v>289.08110000000005</v>
      </c>
      <c r="D607" s="149">
        <f t="shared" si="22"/>
        <v>341.11569800000007</v>
      </c>
    </row>
    <row r="608" spans="1:4" ht="12.75">
      <c r="A608" s="158" t="s">
        <v>895</v>
      </c>
      <c r="B608" s="148" t="s">
        <v>2686</v>
      </c>
      <c r="C608" s="586">
        <f>318.54*1.1*1.1</f>
        <v>385.4334000000001</v>
      </c>
      <c r="D608" s="149">
        <f t="shared" si="22"/>
        <v>454.81141200000013</v>
      </c>
    </row>
    <row r="609" spans="1:4" ht="12.75">
      <c r="A609" s="157" t="s">
        <v>896</v>
      </c>
      <c r="B609" s="148" t="s">
        <v>2571</v>
      </c>
      <c r="C609" s="586">
        <f>318.54*1.1*1.1</f>
        <v>385.4334000000001</v>
      </c>
      <c r="D609" s="149">
        <f t="shared" si="22"/>
        <v>454.81141200000013</v>
      </c>
    </row>
    <row r="610" spans="1:4" s="111" customFormat="1" ht="26.25" customHeight="1">
      <c r="A610" s="157" t="s">
        <v>897</v>
      </c>
      <c r="B610" s="148" t="s">
        <v>834</v>
      </c>
      <c r="C610" s="586">
        <f>318.54*1.1*1.1</f>
        <v>385.4334000000001</v>
      </c>
      <c r="D610" s="149">
        <f t="shared" si="22"/>
        <v>454.81141200000013</v>
      </c>
    </row>
    <row r="611" spans="1:4" s="111" customFormat="1" ht="15" customHeight="1">
      <c r="A611" s="157" t="s">
        <v>898</v>
      </c>
      <c r="B611" s="148" t="s">
        <v>1848</v>
      </c>
      <c r="C611" s="586">
        <f>318.54*1.1*1.1</f>
        <v>385.4334000000001</v>
      </c>
      <c r="D611" s="149">
        <f t="shared" si="22"/>
        <v>454.81141200000013</v>
      </c>
    </row>
    <row r="612" spans="1:4" s="111" customFormat="1" ht="14.25" customHeight="1">
      <c r="A612" s="157" t="s">
        <v>900</v>
      </c>
      <c r="B612" s="148" t="s">
        <v>798</v>
      </c>
      <c r="C612" s="586">
        <f>477.81*1.1*1.1</f>
        <v>578.1501000000001</v>
      </c>
      <c r="D612" s="149">
        <f t="shared" si="22"/>
        <v>682.217118</v>
      </c>
    </row>
    <row r="613" spans="1:4" ht="12.75">
      <c r="A613" s="157" t="s">
        <v>899</v>
      </c>
      <c r="B613" s="164" t="s">
        <v>796</v>
      </c>
      <c r="C613" s="586">
        <f>477.81*1.1*1.1</f>
        <v>578.1501000000001</v>
      </c>
      <c r="D613" s="149">
        <f t="shared" si="22"/>
        <v>682.217118</v>
      </c>
    </row>
    <row r="614" spans="1:4" ht="12.75">
      <c r="A614" s="158" t="s">
        <v>901</v>
      </c>
      <c r="B614" s="148" t="s">
        <v>2244</v>
      </c>
      <c r="C614" s="586">
        <f>159.27*1.1*1.1</f>
        <v>192.71670000000006</v>
      </c>
      <c r="D614" s="149">
        <f t="shared" si="22"/>
        <v>227.40570600000007</v>
      </c>
    </row>
    <row r="615" spans="1:4" ht="13.5" thickBot="1">
      <c r="A615" s="158" t="s">
        <v>902</v>
      </c>
      <c r="B615" s="148" t="s">
        <v>799</v>
      </c>
      <c r="C615" s="586">
        <f>63.71*1.1*1.1</f>
        <v>77.08910000000002</v>
      </c>
      <c r="D615" s="149">
        <f t="shared" si="22"/>
        <v>90.96513800000001</v>
      </c>
    </row>
    <row r="616" spans="1:4" ht="12.75">
      <c r="A616" s="690" t="s">
        <v>903</v>
      </c>
      <c r="B616" s="928" t="s">
        <v>2538</v>
      </c>
      <c r="C616" s="930"/>
      <c r="D616" s="929"/>
    </row>
    <row r="617" spans="1:4" ht="12.75">
      <c r="A617" s="778" t="s">
        <v>904</v>
      </c>
      <c r="B617" s="942" t="s">
        <v>2539</v>
      </c>
      <c r="C617" s="942"/>
      <c r="D617" s="943"/>
    </row>
    <row r="618" spans="1:4" ht="13.5" thickBot="1">
      <c r="A618" s="636" t="s">
        <v>905</v>
      </c>
      <c r="B618" s="937" t="s">
        <v>2540</v>
      </c>
      <c r="C618" s="941"/>
      <c r="D618" s="938"/>
    </row>
    <row r="619" spans="1:4" ht="12.75">
      <c r="A619" s="777" t="s">
        <v>906</v>
      </c>
      <c r="B619" s="341" t="s">
        <v>2541</v>
      </c>
      <c r="C619" s="591">
        <f>159.27*1.1*1.1</f>
        <v>192.71670000000006</v>
      </c>
      <c r="D619" s="169">
        <f t="shared" si="22"/>
        <v>227.40570600000007</v>
      </c>
    </row>
    <row r="620" spans="1:4" ht="12.75">
      <c r="A620" s="157" t="s">
        <v>907</v>
      </c>
      <c r="B620" s="148" t="s">
        <v>850</v>
      </c>
      <c r="C620" s="586">
        <f>199.09*1.1*1.1</f>
        <v>240.89890000000005</v>
      </c>
      <c r="D620" s="149">
        <f t="shared" si="22"/>
        <v>284.26070200000004</v>
      </c>
    </row>
    <row r="621" spans="1:4" ht="12.75">
      <c r="A621" s="157" t="s">
        <v>908</v>
      </c>
      <c r="B621" s="148" t="s">
        <v>799</v>
      </c>
      <c r="C621" s="586">
        <f>63.71*1.1*1.1</f>
        <v>77.08910000000002</v>
      </c>
      <c r="D621" s="149">
        <f t="shared" si="22"/>
        <v>90.96513800000001</v>
      </c>
    </row>
    <row r="622" spans="1:4" ht="12.75">
      <c r="A622" s="157" t="s">
        <v>909</v>
      </c>
      <c r="B622" s="148" t="s">
        <v>2048</v>
      </c>
      <c r="C622" s="586">
        <f>92.38*1.1*1.1</f>
        <v>111.77980000000002</v>
      </c>
      <c r="D622" s="149">
        <f t="shared" si="22"/>
        <v>131.90016400000002</v>
      </c>
    </row>
    <row r="623" spans="1:4" ht="12.75">
      <c r="A623" s="157" t="s">
        <v>910</v>
      </c>
      <c r="B623" s="148" t="s">
        <v>582</v>
      </c>
      <c r="C623" s="586">
        <f>27.08*1.1*1.1</f>
        <v>32.7668</v>
      </c>
      <c r="D623" s="149">
        <f t="shared" si="22"/>
        <v>38.664824</v>
      </c>
    </row>
    <row r="624" spans="1:4" ht="12.75">
      <c r="A624" s="157" t="s">
        <v>911</v>
      </c>
      <c r="B624" s="148" t="s">
        <v>2051</v>
      </c>
      <c r="C624" s="586">
        <f>312.17*1.1*1.1</f>
        <v>377.7257000000001</v>
      </c>
      <c r="D624" s="149">
        <f t="shared" si="22"/>
        <v>445.71632600000004</v>
      </c>
    </row>
    <row r="625" spans="1:4" ht="12.75">
      <c r="A625" s="157" t="s">
        <v>912</v>
      </c>
      <c r="B625" s="148" t="s">
        <v>2053</v>
      </c>
      <c r="C625" s="586">
        <f>254.83*1.1*1.1</f>
        <v>308.3443000000001</v>
      </c>
      <c r="D625" s="149">
        <f t="shared" si="22"/>
        <v>363.8462740000001</v>
      </c>
    </row>
    <row r="626" spans="1:4" ht="12.75">
      <c r="A626" s="157" t="s">
        <v>913</v>
      </c>
      <c r="B626" s="148" t="s">
        <v>2052</v>
      </c>
      <c r="C626" s="586">
        <f>144.94*1.1*1.1</f>
        <v>175.37740000000002</v>
      </c>
      <c r="D626" s="149">
        <f t="shared" si="22"/>
        <v>206.945332</v>
      </c>
    </row>
    <row r="627" spans="1:4" ht="12.75">
      <c r="A627" s="157" t="s">
        <v>914</v>
      </c>
      <c r="B627" s="148" t="s">
        <v>1624</v>
      </c>
      <c r="C627" s="586">
        <f>318.54*1.1*1.1</f>
        <v>385.4334000000001</v>
      </c>
      <c r="D627" s="149">
        <f t="shared" si="22"/>
        <v>454.81141200000013</v>
      </c>
    </row>
    <row r="628" spans="1:4" s="364" customFormat="1" ht="12.75">
      <c r="A628" s="157" t="s">
        <v>915</v>
      </c>
      <c r="B628" s="148" t="s">
        <v>2046</v>
      </c>
      <c r="C628" s="586">
        <f>159.27*1.1*1.1</f>
        <v>192.71670000000006</v>
      </c>
      <c r="D628" s="149">
        <f t="shared" si="22"/>
        <v>227.40570600000007</v>
      </c>
    </row>
    <row r="629" spans="1:4" s="364" customFormat="1" ht="12.75">
      <c r="A629" s="157" t="s">
        <v>916</v>
      </c>
      <c r="B629" s="148" t="s">
        <v>1629</v>
      </c>
      <c r="C629" s="586">
        <f>39.82*1.1*1.1</f>
        <v>48.18220000000001</v>
      </c>
      <c r="D629" s="149">
        <f t="shared" si="22"/>
        <v>56.85499600000001</v>
      </c>
    </row>
    <row r="630" spans="1:4" s="111" customFormat="1" ht="12.75">
      <c r="A630" s="157" t="s">
        <v>917</v>
      </c>
      <c r="B630" s="148" t="s">
        <v>1090</v>
      </c>
      <c r="C630" s="586">
        <f>191.13*1.1*1.1</f>
        <v>231.26730000000003</v>
      </c>
      <c r="D630" s="149">
        <f t="shared" si="22"/>
        <v>272.895414</v>
      </c>
    </row>
    <row r="631" spans="1:4" ht="12.75">
      <c r="A631" s="157" t="s">
        <v>918</v>
      </c>
      <c r="B631" s="148" t="s">
        <v>416</v>
      </c>
      <c r="C631" s="586">
        <f>191.13*1.1*1.1</f>
        <v>231.26730000000003</v>
      </c>
      <c r="D631" s="149">
        <f t="shared" si="22"/>
        <v>272.895414</v>
      </c>
    </row>
    <row r="632" spans="1:4" ht="12.75">
      <c r="A632" s="157" t="s">
        <v>919</v>
      </c>
      <c r="B632" s="148" t="s">
        <v>1444</v>
      </c>
      <c r="C632" s="586">
        <f>191.13*1.1*1.1</f>
        <v>231.26730000000003</v>
      </c>
      <c r="D632" s="149">
        <f t="shared" si="22"/>
        <v>272.895414</v>
      </c>
    </row>
    <row r="633" spans="1:4" ht="12.75">
      <c r="A633" s="342" t="s">
        <v>2650</v>
      </c>
      <c r="B633" s="323" t="s">
        <v>2651</v>
      </c>
      <c r="C633" s="586">
        <f>29.78*1.1*1.1</f>
        <v>36.03380000000001</v>
      </c>
      <c r="D633" s="86">
        <f t="shared" si="22"/>
        <v>42.519884000000005</v>
      </c>
    </row>
    <row r="634" spans="1:4" ht="12.75">
      <c r="A634" s="330" t="s">
        <v>2827</v>
      </c>
      <c r="B634" s="322" t="s">
        <v>2829</v>
      </c>
      <c r="C634" s="586">
        <f>159.27*1.1*1.1</f>
        <v>192.71670000000006</v>
      </c>
      <c r="D634" s="363">
        <f>C634*1.18</f>
        <v>227.40570600000007</v>
      </c>
    </row>
    <row r="635" spans="1:4" ht="13.5" thickBot="1">
      <c r="A635" s="406" t="s">
        <v>2828</v>
      </c>
      <c r="B635" s="346" t="s">
        <v>2830</v>
      </c>
      <c r="C635" s="589">
        <f>63.71*1.1*1.1</f>
        <v>77.08910000000002</v>
      </c>
      <c r="D635" s="581">
        <f>C635*1.18</f>
        <v>90.96513800000001</v>
      </c>
    </row>
    <row r="636" spans="1:4" ht="13.5" thickBot="1">
      <c r="A636" s="155" t="s">
        <v>920</v>
      </c>
      <c r="B636" s="908" t="s">
        <v>2542</v>
      </c>
      <c r="C636" s="909"/>
      <c r="D636" s="910"/>
    </row>
    <row r="637" spans="1:4" s="364" customFormat="1" ht="12.75">
      <c r="A637" s="620" t="s">
        <v>921</v>
      </c>
      <c r="B637" s="602" t="s">
        <v>2543</v>
      </c>
      <c r="C637" s="603">
        <f>121.05*1.1*1.1</f>
        <v>146.47050000000002</v>
      </c>
      <c r="D637" s="604">
        <f t="shared" si="22"/>
        <v>172.83519</v>
      </c>
    </row>
    <row r="638" spans="1:4" s="404" customFormat="1" ht="12.75">
      <c r="A638" s="365" t="s">
        <v>922</v>
      </c>
      <c r="B638" s="367" t="s">
        <v>2544</v>
      </c>
      <c r="C638" s="603">
        <f>91.58*1.1*1.1</f>
        <v>110.8118</v>
      </c>
      <c r="D638" s="366">
        <f t="shared" si="22"/>
        <v>130.757924</v>
      </c>
    </row>
    <row r="639" spans="1:4" ht="25.5">
      <c r="A639" s="157" t="s">
        <v>923</v>
      </c>
      <c r="B639" s="367" t="s">
        <v>2688</v>
      </c>
      <c r="C639" s="591">
        <f>183.16*1.1*1.1</f>
        <v>221.6236</v>
      </c>
      <c r="D639" s="149">
        <f t="shared" si="22"/>
        <v>261.515848</v>
      </c>
    </row>
    <row r="640" spans="1:4" ht="25.5">
      <c r="A640" s="157" t="s">
        <v>924</v>
      </c>
      <c r="B640" s="367" t="s">
        <v>2687</v>
      </c>
      <c r="C640" s="591">
        <f>109.9*1.1*1.1</f>
        <v>132.979</v>
      </c>
      <c r="D640" s="149">
        <f t="shared" si="22"/>
        <v>156.91522</v>
      </c>
    </row>
    <row r="641" spans="1:4" ht="12.75">
      <c r="A641" s="157" t="s">
        <v>925</v>
      </c>
      <c r="B641" s="367" t="s">
        <v>2545</v>
      </c>
      <c r="C641" s="591">
        <f>183.16*1.1*1.1</f>
        <v>221.6236</v>
      </c>
      <c r="D641" s="149">
        <f t="shared" si="22"/>
        <v>261.515848</v>
      </c>
    </row>
    <row r="642" spans="1:4" ht="12.75">
      <c r="A642" s="157" t="s">
        <v>926</v>
      </c>
      <c r="B642" s="367" t="s">
        <v>2689</v>
      </c>
      <c r="C642" s="591">
        <f>183.16*1.1*1.1</f>
        <v>221.6236</v>
      </c>
      <c r="D642" s="149">
        <f aca="true" t="shared" si="23" ref="D642:D675">C642*1.18</f>
        <v>261.515848</v>
      </c>
    </row>
    <row r="643" spans="1:5" ht="13.5" thickBot="1">
      <c r="A643" s="176" t="s">
        <v>927</v>
      </c>
      <c r="B643" s="151" t="s">
        <v>2546</v>
      </c>
      <c r="C643" s="591">
        <f>159.27*1.1*1.1</f>
        <v>192.71670000000006</v>
      </c>
      <c r="D643" s="152">
        <f t="shared" si="23"/>
        <v>227.40570600000007</v>
      </c>
      <c r="E643" s="328"/>
    </row>
    <row r="644" spans="1:4" ht="13.5" thickBot="1">
      <c r="A644" s="306" t="s">
        <v>1129</v>
      </c>
      <c r="B644" s="921" t="s">
        <v>2547</v>
      </c>
      <c r="C644" s="940"/>
      <c r="D644" s="922"/>
    </row>
    <row r="645" spans="1:4" s="364" customFormat="1" ht="12.75">
      <c r="A645" s="745" t="s">
        <v>2197</v>
      </c>
      <c r="B645" s="602" t="s">
        <v>2548</v>
      </c>
      <c r="C645" s="603">
        <f aca="true" t="shared" si="24" ref="C645:C653">398.18*1.1*1.1</f>
        <v>481.7978000000001</v>
      </c>
      <c r="D645" s="604">
        <f t="shared" si="23"/>
        <v>568.5214040000001</v>
      </c>
    </row>
    <row r="646" spans="1:4" s="364" customFormat="1" ht="12.75">
      <c r="A646" s="365" t="s">
        <v>2198</v>
      </c>
      <c r="B646" s="367" t="s">
        <v>2549</v>
      </c>
      <c r="C646" s="588">
        <f t="shared" si="24"/>
        <v>481.7978000000001</v>
      </c>
      <c r="D646" s="366">
        <f t="shared" si="23"/>
        <v>568.5214040000001</v>
      </c>
    </row>
    <row r="647" spans="1:4" s="364" customFormat="1" ht="12.75">
      <c r="A647" s="365" t="s">
        <v>1662</v>
      </c>
      <c r="B647" s="367" t="s">
        <v>2550</v>
      </c>
      <c r="C647" s="588">
        <f t="shared" si="24"/>
        <v>481.7978000000001</v>
      </c>
      <c r="D647" s="366">
        <f t="shared" si="23"/>
        <v>568.5214040000001</v>
      </c>
    </row>
    <row r="648" spans="1:4" s="364" customFormat="1" ht="12.75">
      <c r="A648" s="365" t="s">
        <v>1665</v>
      </c>
      <c r="B648" s="367" t="s">
        <v>2551</v>
      </c>
      <c r="C648" s="588">
        <f t="shared" si="24"/>
        <v>481.7978000000001</v>
      </c>
      <c r="D648" s="366">
        <f t="shared" si="23"/>
        <v>568.5214040000001</v>
      </c>
    </row>
    <row r="649" spans="1:4" s="364" customFormat="1" ht="12.75">
      <c r="A649" s="365" t="s">
        <v>2199</v>
      </c>
      <c r="B649" s="367" t="s">
        <v>2552</v>
      </c>
      <c r="C649" s="588">
        <f t="shared" si="24"/>
        <v>481.7978000000001</v>
      </c>
      <c r="D649" s="366">
        <f t="shared" si="23"/>
        <v>568.5214040000001</v>
      </c>
    </row>
    <row r="650" spans="1:4" s="364" customFormat="1" ht="12.75">
      <c r="A650" s="365" t="s">
        <v>2200</v>
      </c>
      <c r="B650" s="367" t="s">
        <v>2553</v>
      </c>
      <c r="C650" s="588">
        <f t="shared" si="24"/>
        <v>481.7978000000001</v>
      </c>
      <c r="D650" s="366">
        <f t="shared" si="23"/>
        <v>568.5214040000001</v>
      </c>
    </row>
    <row r="651" spans="1:4" s="364" customFormat="1" ht="12.75">
      <c r="A651" s="365" t="s">
        <v>2668</v>
      </c>
      <c r="B651" s="367" t="s">
        <v>2554</v>
      </c>
      <c r="C651" s="588">
        <f t="shared" si="24"/>
        <v>481.7978000000001</v>
      </c>
      <c r="D651" s="366">
        <f t="shared" si="23"/>
        <v>568.5214040000001</v>
      </c>
    </row>
    <row r="652" spans="1:4" s="364" customFormat="1" ht="12.75">
      <c r="A652" s="365" t="s">
        <v>2201</v>
      </c>
      <c r="B652" s="367" t="s">
        <v>3374</v>
      </c>
      <c r="C652" s="588">
        <f t="shared" si="24"/>
        <v>481.7978000000001</v>
      </c>
      <c r="D652" s="366">
        <f t="shared" si="23"/>
        <v>568.5214040000001</v>
      </c>
    </row>
    <row r="653" spans="1:4" s="364" customFormat="1" ht="12.75">
      <c r="A653" s="365" t="s">
        <v>1450</v>
      </c>
      <c r="B653" s="367" t="s">
        <v>3375</v>
      </c>
      <c r="C653" s="588">
        <f t="shared" si="24"/>
        <v>481.7978000000001</v>
      </c>
      <c r="D653" s="366">
        <f t="shared" si="23"/>
        <v>568.5214040000001</v>
      </c>
    </row>
    <row r="654" spans="1:4" s="364" customFormat="1" ht="12.75">
      <c r="A654" s="365" t="s">
        <v>444</v>
      </c>
      <c r="B654" s="367" t="s">
        <v>2273</v>
      </c>
      <c r="C654" s="588">
        <f>1041.63*1.1*1.1</f>
        <v>1260.3723000000002</v>
      </c>
      <c r="D654" s="366">
        <f t="shared" si="23"/>
        <v>1487.2393140000001</v>
      </c>
    </row>
    <row r="655" spans="1:4" s="364" customFormat="1" ht="12.75">
      <c r="A655" s="365" t="s">
        <v>2202</v>
      </c>
      <c r="B655" s="367" t="s">
        <v>2563</v>
      </c>
      <c r="C655" s="588">
        <f>159.27*1.1*1.1</f>
        <v>192.71670000000006</v>
      </c>
      <c r="D655" s="366">
        <f t="shared" si="23"/>
        <v>227.40570600000007</v>
      </c>
    </row>
    <row r="656" spans="1:4" s="364" customFormat="1" ht="12.75">
      <c r="A656" s="365" t="s">
        <v>448</v>
      </c>
      <c r="B656" s="367" t="s">
        <v>582</v>
      </c>
      <c r="C656" s="588">
        <f>92.38*1.1*1.1</f>
        <v>111.77980000000002</v>
      </c>
      <c r="D656" s="366">
        <f t="shared" si="23"/>
        <v>131.90016400000002</v>
      </c>
    </row>
    <row r="657" spans="1:4" s="364" customFormat="1" ht="12.75">
      <c r="A657" s="365" t="s">
        <v>2203</v>
      </c>
      <c r="B657" s="367" t="s">
        <v>2555</v>
      </c>
      <c r="C657" s="588">
        <f>27.08*1.1*1.1</f>
        <v>32.7668</v>
      </c>
      <c r="D657" s="366">
        <f t="shared" si="23"/>
        <v>38.664824</v>
      </c>
    </row>
    <row r="658" spans="1:4" s="364" customFormat="1" ht="12.75">
      <c r="A658" s="365" t="s">
        <v>2204</v>
      </c>
      <c r="B658" s="367" t="s">
        <v>2556</v>
      </c>
      <c r="C658" s="588">
        <f>27.08*1.1*1.1</f>
        <v>32.7668</v>
      </c>
      <c r="D658" s="366">
        <f t="shared" si="23"/>
        <v>38.664824</v>
      </c>
    </row>
    <row r="659" spans="1:4" s="364" customFormat="1" ht="12.75">
      <c r="A659" s="746" t="s">
        <v>1818</v>
      </c>
      <c r="B659" s="367" t="s">
        <v>1630</v>
      </c>
      <c r="C659" s="588">
        <f>66.89*1.1*1.1</f>
        <v>80.93690000000001</v>
      </c>
      <c r="D659" s="366">
        <f t="shared" si="23"/>
        <v>95.505542</v>
      </c>
    </row>
    <row r="660" spans="1:4" s="364" customFormat="1" ht="12.75">
      <c r="A660" s="365" t="s">
        <v>928</v>
      </c>
      <c r="B660" s="367" t="s">
        <v>1629</v>
      </c>
      <c r="C660" s="588">
        <f>66.89*1.1*1.1</f>
        <v>80.93690000000001</v>
      </c>
      <c r="D660" s="366">
        <f t="shared" si="23"/>
        <v>95.505542</v>
      </c>
    </row>
    <row r="661" spans="1:4" s="364" customFormat="1" ht="12.75">
      <c r="A661" s="365" t="s">
        <v>1824</v>
      </c>
      <c r="B661" s="367" t="s">
        <v>2690</v>
      </c>
      <c r="C661" s="588">
        <f>159.27*1.1*1.1</f>
        <v>192.71670000000006</v>
      </c>
      <c r="D661" s="366">
        <f t="shared" si="23"/>
        <v>227.40570600000007</v>
      </c>
    </row>
    <row r="662" spans="1:4" s="364" customFormat="1" ht="12.75">
      <c r="A662" s="365" t="s">
        <v>929</v>
      </c>
      <c r="B662" s="367" t="s">
        <v>1622</v>
      </c>
      <c r="C662" s="588">
        <f>477.81*1.1*1.1</f>
        <v>578.1501000000001</v>
      </c>
      <c r="D662" s="366">
        <f t="shared" si="23"/>
        <v>682.217118</v>
      </c>
    </row>
    <row r="663" spans="1:4" s="364" customFormat="1" ht="12.75">
      <c r="A663" s="365" t="s">
        <v>930</v>
      </c>
      <c r="B663" s="367" t="s">
        <v>2054</v>
      </c>
      <c r="C663" s="588">
        <f>398.18*1.1*1.1</f>
        <v>481.7978000000001</v>
      </c>
      <c r="D663" s="366">
        <f t="shared" si="23"/>
        <v>568.5214040000001</v>
      </c>
    </row>
    <row r="664" spans="1:4" s="364" customFormat="1" ht="12.75">
      <c r="A664" s="365" t="s">
        <v>931</v>
      </c>
      <c r="B664" s="367" t="s">
        <v>2557</v>
      </c>
      <c r="C664" s="588">
        <f>350.4*1.1*1.1</f>
        <v>423.98400000000004</v>
      </c>
      <c r="D664" s="366">
        <f t="shared" si="23"/>
        <v>500.30112</v>
      </c>
    </row>
    <row r="665" spans="1:4" s="364" customFormat="1" ht="12.75">
      <c r="A665" s="365" t="s">
        <v>932</v>
      </c>
      <c r="B665" s="367" t="s">
        <v>1446</v>
      </c>
      <c r="C665" s="588">
        <f>159.27*1.1*1.1</f>
        <v>192.71670000000006</v>
      </c>
      <c r="D665" s="366">
        <f t="shared" si="23"/>
        <v>227.40570600000007</v>
      </c>
    </row>
    <row r="666" spans="1:4" s="364" customFormat="1" ht="12.75">
      <c r="A666" s="365" t="s">
        <v>933</v>
      </c>
      <c r="B666" s="367" t="s">
        <v>2236</v>
      </c>
      <c r="C666" s="588">
        <f>159.27*1.1*1.1</f>
        <v>192.71670000000006</v>
      </c>
      <c r="D666" s="366">
        <f t="shared" si="23"/>
        <v>227.40570600000007</v>
      </c>
    </row>
    <row r="667" spans="1:4" s="364" customFormat="1" ht="12.75">
      <c r="A667" s="365" t="s">
        <v>934</v>
      </c>
      <c r="B667" s="367" t="s">
        <v>2558</v>
      </c>
      <c r="C667" s="588">
        <f>291.47*1.1*1.1</f>
        <v>352.6787000000001</v>
      </c>
      <c r="D667" s="366">
        <f t="shared" si="23"/>
        <v>416.1608660000001</v>
      </c>
    </row>
    <row r="668" spans="1:4" s="364" customFormat="1" ht="12.75">
      <c r="A668" s="365" t="s">
        <v>935</v>
      </c>
      <c r="B668" s="367" t="s">
        <v>2559</v>
      </c>
      <c r="C668" s="588">
        <f>79.64*1.1*1.1</f>
        <v>96.36440000000002</v>
      </c>
      <c r="D668" s="366">
        <f t="shared" si="23"/>
        <v>113.70999200000001</v>
      </c>
    </row>
    <row r="669" spans="1:4" s="364" customFormat="1" ht="12.75">
      <c r="A669" s="365" t="s">
        <v>936</v>
      </c>
      <c r="B669" s="367" t="s">
        <v>1848</v>
      </c>
      <c r="C669" s="588">
        <f>318.54*1.1*1.1</f>
        <v>385.4334000000001</v>
      </c>
      <c r="D669" s="366">
        <f t="shared" si="23"/>
        <v>454.81141200000013</v>
      </c>
    </row>
    <row r="670" spans="1:4" s="364" customFormat="1" ht="12.75">
      <c r="A670" s="365" t="s">
        <v>937</v>
      </c>
      <c r="B670" s="367" t="s">
        <v>2691</v>
      </c>
      <c r="C670" s="588">
        <f>159.27*1.1*1.1</f>
        <v>192.71670000000006</v>
      </c>
      <c r="D670" s="366">
        <f t="shared" si="23"/>
        <v>227.40570600000007</v>
      </c>
    </row>
    <row r="671" spans="1:4" s="364" customFormat="1" ht="12.75">
      <c r="A671" s="365" t="s">
        <v>938</v>
      </c>
      <c r="B671" s="367" t="s">
        <v>2048</v>
      </c>
      <c r="C671" s="588">
        <f>159.27*1.1*1.1</f>
        <v>192.71670000000006</v>
      </c>
      <c r="D671" s="366">
        <f t="shared" si="23"/>
        <v>227.40570600000007</v>
      </c>
    </row>
    <row r="672" spans="1:4" s="364" customFormat="1" ht="12.75">
      <c r="A672" s="689" t="s">
        <v>939</v>
      </c>
      <c r="B672" s="367" t="s">
        <v>2692</v>
      </c>
      <c r="C672" s="588">
        <f>238.91*1.1*1.1</f>
        <v>289.08110000000005</v>
      </c>
      <c r="D672" s="366">
        <f t="shared" si="23"/>
        <v>341.11569800000007</v>
      </c>
    </row>
    <row r="673" spans="1:4" s="364" customFormat="1" ht="12.75" customHeight="1">
      <c r="A673" s="689" t="s">
        <v>940</v>
      </c>
      <c r="B673" s="367" t="s">
        <v>548</v>
      </c>
      <c r="C673" s="588">
        <f>1035.26*1.1*1.1</f>
        <v>1252.6646</v>
      </c>
      <c r="D673" s="366">
        <f t="shared" si="23"/>
        <v>1478.1442279999999</v>
      </c>
    </row>
    <row r="674" spans="1:4" s="364" customFormat="1" ht="12.75">
      <c r="A674" s="747" t="s">
        <v>941</v>
      </c>
      <c r="B674" s="367" t="s">
        <v>709</v>
      </c>
      <c r="C674" s="588">
        <f>907.84*1.1*1.1</f>
        <v>1098.4864000000002</v>
      </c>
      <c r="D674" s="366">
        <f t="shared" si="23"/>
        <v>1296.2139520000003</v>
      </c>
    </row>
    <row r="675" spans="1:4" s="364" customFormat="1" ht="12.75">
      <c r="A675" s="689" t="s">
        <v>3376</v>
      </c>
      <c r="B675" s="367" t="s">
        <v>2282</v>
      </c>
      <c r="C675" s="588">
        <f>907.84*1.1*1.1</f>
        <v>1098.4864000000002</v>
      </c>
      <c r="D675" s="366">
        <f t="shared" si="23"/>
        <v>1296.2139520000003</v>
      </c>
    </row>
    <row r="676" spans="1:4" s="364" customFormat="1" ht="12.75">
      <c r="A676" s="689" t="s">
        <v>3377</v>
      </c>
      <c r="B676" s="748" t="s">
        <v>3543</v>
      </c>
      <c r="C676" s="588">
        <f>398.18*1.1*1.1</f>
        <v>481.7978000000001</v>
      </c>
      <c r="D676" s="366">
        <f>C676*1.18</f>
        <v>568.5214040000001</v>
      </c>
    </row>
    <row r="677" spans="1:4" s="364" customFormat="1" ht="13.5" thickBot="1">
      <c r="A677" s="749" t="s">
        <v>3544</v>
      </c>
      <c r="B677" s="750" t="s">
        <v>2546</v>
      </c>
      <c r="C677" s="587">
        <f>159.27*1.1*1.1</f>
        <v>192.71670000000006</v>
      </c>
      <c r="D677" s="650">
        <f>C677*1.18</f>
        <v>227.40570600000007</v>
      </c>
    </row>
    <row r="678" spans="1:4" s="364" customFormat="1" ht="12.75">
      <c r="A678" s="785"/>
      <c r="B678" s="786"/>
      <c r="C678" s="787"/>
      <c r="D678" s="708"/>
    </row>
    <row r="679" spans="1:4" s="364" customFormat="1" ht="12.75">
      <c r="A679" s="785"/>
      <c r="B679" s="786"/>
      <c r="C679" s="787"/>
      <c r="D679" s="708"/>
    </row>
    <row r="682" spans="2:4" ht="15.75">
      <c r="B682" s="144" t="s">
        <v>2819</v>
      </c>
      <c r="D682" s="515" t="s">
        <v>2820</v>
      </c>
    </row>
    <row r="686" ht="12.75">
      <c r="D686" s="145"/>
    </row>
  </sheetData>
  <sheetProtection/>
  <autoFilter ref="A17:E419"/>
  <mergeCells count="38">
    <mergeCell ref="B531:D531"/>
    <mergeCell ref="B618:D618"/>
    <mergeCell ref="B636:D636"/>
    <mergeCell ref="B644:D644"/>
    <mergeCell ref="B544:D544"/>
    <mergeCell ref="B563:D563"/>
    <mergeCell ref="B582:D582"/>
    <mergeCell ref="B587:D587"/>
    <mergeCell ref="B616:D616"/>
    <mergeCell ref="B617:D617"/>
    <mergeCell ref="B384:D384"/>
    <mergeCell ref="B396:D396"/>
    <mergeCell ref="B404:D404"/>
    <mergeCell ref="A420:D420"/>
    <mergeCell ref="B421:D421"/>
    <mergeCell ref="B339:D339"/>
    <mergeCell ref="B357:D357"/>
    <mergeCell ref="B370:D370"/>
    <mergeCell ref="B377:D377"/>
    <mergeCell ref="B217:D217"/>
    <mergeCell ref="A247:A256"/>
    <mergeCell ref="B261:D261"/>
    <mergeCell ref="A294:A295"/>
    <mergeCell ref="B311:D311"/>
    <mergeCell ref="B324:D324"/>
    <mergeCell ref="B56:D56"/>
    <mergeCell ref="B91:D91"/>
    <mergeCell ref="B113:D113"/>
    <mergeCell ref="B135:D135"/>
    <mergeCell ref="B164:D164"/>
    <mergeCell ref="B193:D193"/>
    <mergeCell ref="A7:D7"/>
    <mergeCell ref="A8:D8"/>
    <mergeCell ref="A9:D9"/>
    <mergeCell ref="A14:D14"/>
    <mergeCell ref="A15:D15"/>
    <mergeCell ref="B16:D16"/>
    <mergeCell ref="A10:D10"/>
  </mergeCells>
  <printOptions/>
  <pageMargins left="0.5511811023622047" right="0.35433070866141736" top="0.5511811023622047" bottom="0.3937007874015748" header="0.5118110236220472" footer="0.5118110236220472"/>
  <pageSetup fitToHeight="12"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O720"/>
  <sheetViews>
    <sheetView zoomScalePageLayoutView="0" workbookViewId="0" topLeftCell="A1">
      <selection activeCell="R9" sqref="R9"/>
    </sheetView>
  </sheetViews>
  <sheetFormatPr defaultColWidth="9.00390625" defaultRowHeight="12.75"/>
  <cols>
    <col min="1" max="1" width="8.625" style="179" customWidth="1"/>
    <col min="2" max="2" width="42.25390625" style="2" customWidth="1"/>
    <col min="3" max="3" width="12.875" style="202" customWidth="1"/>
    <col min="4" max="4" width="13.875" style="12" hidden="1" customWidth="1"/>
    <col min="5" max="5" width="12.00390625" style="53" hidden="1" customWidth="1"/>
    <col min="6" max="6" width="11.00390625" style="44" hidden="1" customWidth="1"/>
    <col min="7" max="7" width="10.875" style="0" hidden="1" customWidth="1"/>
    <col min="8" max="8" width="10.625" style="0" hidden="1" customWidth="1"/>
    <col min="9" max="9" width="12.75390625" style="0" customWidth="1"/>
    <col min="10" max="10" width="11.75390625" style="0" customWidth="1"/>
    <col min="11" max="13" width="9.125" style="0" hidden="1" customWidth="1"/>
    <col min="14" max="14" width="10.625" style="0" hidden="1" customWidth="1"/>
    <col min="15" max="15" width="0" style="0" hidden="1" customWidth="1"/>
  </cols>
  <sheetData>
    <row r="1" spans="1:10" ht="12.75">
      <c r="A1" s="121"/>
      <c r="B1" s="469"/>
      <c r="C1" s="101"/>
      <c r="D1"/>
      <c r="E1" s="54"/>
      <c r="F1" s="45"/>
      <c r="H1" s="81" t="s">
        <v>2572</v>
      </c>
      <c r="J1" s="4" t="s">
        <v>2475</v>
      </c>
    </row>
    <row r="2" spans="1:10" ht="12.75">
      <c r="A2" s="121"/>
      <c r="B2" s="469"/>
      <c r="C2" s="101"/>
      <c r="D2"/>
      <c r="E2" s="54"/>
      <c r="F2" s="46"/>
      <c r="H2" s="81" t="s">
        <v>2573</v>
      </c>
      <c r="J2" s="81" t="s">
        <v>2822</v>
      </c>
    </row>
    <row r="3" spans="1:10" ht="12.75">
      <c r="A3" s="121"/>
      <c r="B3" s="469"/>
      <c r="C3" s="101"/>
      <c r="D3"/>
      <c r="E3" s="54"/>
      <c r="F3" s="46"/>
      <c r="H3" s="81" t="s">
        <v>2574</v>
      </c>
      <c r="J3" s="81" t="s">
        <v>3556</v>
      </c>
    </row>
    <row r="4" spans="1:10" ht="12.75">
      <c r="A4" s="121"/>
      <c r="B4" s="469"/>
      <c r="C4" s="101"/>
      <c r="D4"/>
      <c r="E4" s="54"/>
      <c r="F4" s="47"/>
      <c r="H4" s="81" t="s">
        <v>2420</v>
      </c>
      <c r="J4" s="81"/>
    </row>
    <row r="5" spans="1:10" ht="12.75">
      <c r="A5" s="121"/>
      <c r="B5" s="469"/>
      <c r="C5" s="101"/>
      <c r="D5"/>
      <c r="E5" s="54"/>
      <c r="F5" s="48"/>
      <c r="H5" s="48"/>
      <c r="J5" s="48"/>
    </row>
    <row r="6" spans="1:10" ht="12.75">
      <c r="A6" s="121"/>
      <c r="B6" s="469"/>
      <c r="C6" s="101"/>
      <c r="D6"/>
      <c r="E6" s="54"/>
      <c r="F6" s="48"/>
      <c r="H6" s="48"/>
      <c r="J6" s="48"/>
    </row>
    <row r="7" spans="1:10" ht="15" customHeight="1">
      <c r="A7" s="892" t="s">
        <v>3551</v>
      </c>
      <c r="B7" s="892"/>
      <c r="C7" s="892"/>
      <c r="D7" s="892"/>
      <c r="E7" s="892"/>
      <c r="F7" s="892"/>
      <c r="G7" s="892"/>
      <c r="H7" s="892"/>
      <c r="I7" s="892"/>
      <c r="J7" s="892"/>
    </row>
    <row r="8" spans="1:10" ht="15" customHeight="1">
      <c r="A8" s="892" t="s">
        <v>2823</v>
      </c>
      <c r="B8" s="892"/>
      <c r="C8" s="892"/>
      <c r="D8" s="892"/>
      <c r="E8" s="892"/>
      <c r="F8" s="892"/>
      <c r="G8" s="892"/>
      <c r="H8" s="892"/>
      <c r="I8" s="892"/>
      <c r="J8" s="892"/>
    </row>
    <row r="9" spans="1:10" ht="15" customHeight="1">
      <c r="A9" s="951" t="s">
        <v>1161</v>
      </c>
      <c r="B9" s="951"/>
      <c r="C9" s="951"/>
      <c r="D9" s="951"/>
      <c r="E9" s="951"/>
      <c r="F9" s="951"/>
      <c r="G9" s="951"/>
      <c r="H9" s="951"/>
      <c r="I9" s="951"/>
      <c r="J9" s="951"/>
    </row>
    <row r="10" spans="1:10" ht="15" customHeight="1">
      <c r="A10" s="951" t="s">
        <v>3553</v>
      </c>
      <c r="B10" s="951"/>
      <c r="C10" s="951"/>
      <c r="D10" s="951"/>
      <c r="E10" s="951"/>
      <c r="F10" s="951"/>
      <c r="G10" s="951"/>
      <c r="H10" s="951"/>
      <c r="I10" s="951"/>
      <c r="J10" s="951"/>
    </row>
    <row r="12" spans="1:10" ht="25.5">
      <c r="A12" s="425" t="s">
        <v>2522</v>
      </c>
      <c r="B12" s="431" t="s">
        <v>779</v>
      </c>
      <c r="C12" s="74" t="s">
        <v>335</v>
      </c>
      <c r="D12" s="23"/>
      <c r="E12" s="491" t="s">
        <v>336</v>
      </c>
      <c r="F12" s="492" t="s">
        <v>337</v>
      </c>
      <c r="G12" s="491" t="s">
        <v>336</v>
      </c>
      <c r="H12" s="492" t="s">
        <v>337</v>
      </c>
      <c r="I12" s="491" t="s">
        <v>336</v>
      </c>
      <c r="J12" s="492" t="s">
        <v>337</v>
      </c>
    </row>
    <row r="13" spans="1:10" ht="12.75">
      <c r="A13" s="493">
        <v>1</v>
      </c>
      <c r="B13" s="494">
        <v>2</v>
      </c>
      <c r="C13" s="495">
        <v>3</v>
      </c>
      <c r="D13" s="496"/>
      <c r="E13" s="497"/>
      <c r="F13" s="497"/>
      <c r="G13" s="497"/>
      <c r="H13" s="497"/>
      <c r="I13" s="497">
        <v>4</v>
      </c>
      <c r="J13" s="497">
        <v>5</v>
      </c>
    </row>
    <row r="14" spans="1:10" ht="19.5" customHeight="1">
      <c r="A14" s="952" t="s">
        <v>942</v>
      </c>
      <c r="B14" s="952"/>
      <c r="C14" s="952"/>
      <c r="D14" s="952"/>
      <c r="E14" s="952"/>
      <c r="F14" s="952"/>
      <c r="G14" s="952"/>
      <c r="H14" s="952"/>
      <c r="I14" s="952"/>
      <c r="J14" s="952"/>
    </row>
    <row r="15" spans="1:10" s="111" customFormat="1" ht="27.75" customHeight="1">
      <c r="A15" s="329" t="s">
        <v>822</v>
      </c>
      <c r="B15" s="950" t="s">
        <v>1840</v>
      </c>
      <c r="C15" s="950"/>
      <c r="D15" s="950"/>
      <c r="E15" s="950"/>
      <c r="F15" s="950"/>
      <c r="G15" s="950"/>
      <c r="H15" s="950"/>
      <c r="I15" s="950"/>
      <c r="J15" s="950"/>
    </row>
    <row r="16" spans="1:11" ht="12.75">
      <c r="A16" s="498" t="s">
        <v>2421</v>
      </c>
      <c r="B16" s="499" t="s">
        <v>866</v>
      </c>
      <c r="C16" s="74">
        <v>1</v>
      </c>
      <c r="D16" s="38">
        <v>149.17</v>
      </c>
      <c r="E16" s="57">
        <f>C16*97.36*1.101</f>
        <v>107.19336</v>
      </c>
      <c r="F16" s="32">
        <f aca="true" t="shared" si="0" ref="F16:F77">E16*1.18</f>
        <v>126.48816479999999</v>
      </c>
      <c r="G16" s="80">
        <f>E16*1.15*1.15</f>
        <v>141.76321859999996</v>
      </c>
      <c r="H16" s="19">
        <f aca="true" t="shared" si="1" ref="H16:H43">G16*1.18</f>
        <v>167.28059794799995</v>
      </c>
      <c r="I16" s="80">
        <f aca="true" t="shared" si="2" ref="I16:I43">G16*1.2*1.05*1.07*1.1*1.1</f>
        <v>231.26145729298918</v>
      </c>
      <c r="J16" s="19">
        <f aca="true" t="shared" si="3" ref="J16:J43">I16*1.18</f>
        <v>272.8885196057272</v>
      </c>
      <c r="K16" s="94">
        <f>I16/G16</f>
        <v>1.6313220000000004</v>
      </c>
    </row>
    <row r="17" spans="1:14" ht="12.75">
      <c r="A17" s="498" t="s">
        <v>2422</v>
      </c>
      <c r="B17" s="499" t="s">
        <v>867</v>
      </c>
      <c r="C17" s="74">
        <v>0.5</v>
      </c>
      <c r="D17" s="38">
        <v>49.73</v>
      </c>
      <c r="E17" s="57">
        <f aca="true" t="shared" si="4" ref="E17:E111">C17*97.36*1.101</f>
        <v>53.59668</v>
      </c>
      <c r="F17" s="32">
        <f t="shared" si="0"/>
        <v>63.244082399999996</v>
      </c>
      <c r="G17" s="80">
        <f aca="true" t="shared" si="5" ref="G17:G112">E17*1.15*1.15</f>
        <v>70.88160929999998</v>
      </c>
      <c r="H17" s="19">
        <f t="shared" si="1"/>
        <v>83.64029897399998</v>
      </c>
      <c r="I17" s="80">
        <f t="shared" si="2"/>
        <v>115.63072864649459</v>
      </c>
      <c r="J17" s="19">
        <f t="shared" si="3"/>
        <v>136.4442598028636</v>
      </c>
      <c r="K17" s="94">
        <f aca="true" t="shared" si="6" ref="K17:K106">I17/G17</f>
        <v>1.6313220000000004</v>
      </c>
      <c r="N17">
        <f aca="true" t="shared" si="7" ref="N17:N80">I17/C17</f>
        <v>231.26145729298918</v>
      </c>
    </row>
    <row r="18" spans="1:14" ht="12.75">
      <c r="A18" s="498" t="s">
        <v>2423</v>
      </c>
      <c r="B18" s="499" t="s">
        <v>1540</v>
      </c>
      <c r="C18" s="74">
        <v>0.5</v>
      </c>
      <c r="D18" s="38">
        <v>49.73</v>
      </c>
      <c r="E18" s="57">
        <f t="shared" si="4"/>
        <v>53.59668</v>
      </c>
      <c r="F18" s="32">
        <f t="shared" si="0"/>
        <v>63.244082399999996</v>
      </c>
      <c r="G18" s="80">
        <f t="shared" si="5"/>
        <v>70.88160929999998</v>
      </c>
      <c r="H18" s="19">
        <f t="shared" si="1"/>
        <v>83.64029897399998</v>
      </c>
      <c r="I18" s="80">
        <f t="shared" si="2"/>
        <v>115.63072864649459</v>
      </c>
      <c r="J18" s="19">
        <f t="shared" si="3"/>
        <v>136.4442598028636</v>
      </c>
      <c r="K18" s="94">
        <f t="shared" si="6"/>
        <v>1.6313220000000004</v>
      </c>
      <c r="N18">
        <f t="shared" si="7"/>
        <v>231.26145729298918</v>
      </c>
    </row>
    <row r="19" spans="1:14" ht="12.75">
      <c r="A19" s="498" t="s">
        <v>2424</v>
      </c>
      <c r="B19" s="499" t="s">
        <v>1548</v>
      </c>
      <c r="C19" s="74">
        <v>0.5</v>
      </c>
      <c r="D19" s="38">
        <v>99.45</v>
      </c>
      <c r="E19" s="57">
        <f t="shared" si="4"/>
        <v>53.59668</v>
      </c>
      <c r="F19" s="32">
        <f t="shared" si="0"/>
        <v>63.244082399999996</v>
      </c>
      <c r="G19" s="80">
        <f t="shared" si="5"/>
        <v>70.88160929999998</v>
      </c>
      <c r="H19" s="19">
        <f t="shared" si="1"/>
        <v>83.64029897399998</v>
      </c>
      <c r="I19" s="80">
        <f t="shared" si="2"/>
        <v>115.63072864649459</v>
      </c>
      <c r="J19" s="19">
        <f t="shared" si="3"/>
        <v>136.4442598028636</v>
      </c>
      <c r="K19" s="94">
        <f t="shared" si="6"/>
        <v>1.6313220000000004</v>
      </c>
      <c r="N19">
        <f t="shared" si="7"/>
        <v>231.26145729298918</v>
      </c>
    </row>
    <row r="20" spans="1:14" ht="12.75">
      <c r="A20" s="500" t="s">
        <v>2425</v>
      </c>
      <c r="B20" s="499" t="s">
        <v>1064</v>
      </c>
      <c r="C20" s="204">
        <v>3</v>
      </c>
      <c r="D20" s="39">
        <v>298.35</v>
      </c>
      <c r="E20" s="68">
        <f t="shared" si="4"/>
        <v>321.58007999999995</v>
      </c>
      <c r="F20" s="32">
        <f t="shared" si="0"/>
        <v>379.4644943999999</v>
      </c>
      <c r="G20" s="80">
        <f t="shared" si="5"/>
        <v>425.2896557999998</v>
      </c>
      <c r="H20" s="19">
        <f t="shared" si="1"/>
        <v>501.84179384399977</v>
      </c>
      <c r="I20" s="80">
        <f t="shared" si="2"/>
        <v>693.7843718789675</v>
      </c>
      <c r="J20" s="19">
        <f t="shared" si="3"/>
        <v>818.6655588171816</v>
      </c>
      <c r="K20" s="470">
        <f t="shared" si="6"/>
        <v>1.6313220000000004</v>
      </c>
      <c r="L20" s="471"/>
      <c r="M20" s="471"/>
      <c r="N20">
        <f t="shared" si="7"/>
        <v>231.26145729298915</v>
      </c>
    </row>
    <row r="21" spans="1:14" ht="12.75">
      <c r="A21" s="500" t="s">
        <v>2426</v>
      </c>
      <c r="B21" s="499" t="s">
        <v>1031</v>
      </c>
      <c r="C21" s="204">
        <v>2.5</v>
      </c>
      <c r="D21" s="39">
        <v>248.63</v>
      </c>
      <c r="E21" s="68">
        <f t="shared" si="4"/>
        <v>267.9834</v>
      </c>
      <c r="F21" s="32">
        <f t="shared" si="0"/>
        <v>316.220412</v>
      </c>
      <c r="G21" s="80">
        <f t="shared" si="5"/>
        <v>354.40804649999995</v>
      </c>
      <c r="H21" s="19">
        <f t="shared" si="1"/>
        <v>418.2014948699999</v>
      </c>
      <c r="I21" s="80">
        <f t="shared" si="2"/>
        <v>578.1536432324731</v>
      </c>
      <c r="J21" s="19">
        <f t="shared" si="3"/>
        <v>682.2212990143182</v>
      </c>
      <c r="K21" s="94">
        <f t="shared" si="6"/>
        <v>1.6313220000000004</v>
      </c>
      <c r="N21">
        <f t="shared" si="7"/>
        <v>231.26145729298923</v>
      </c>
    </row>
    <row r="22" spans="1:14" ht="12.75">
      <c r="A22" s="500" t="s">
        <v>943</v>
      </c>
      <c r="B22" s="499" t="s">
        <v>798</v>
      </c>
      <c r="C22" s="204">
        <v>3</v>
      </c>
      <c r="D22" s="39">
        <v>298.35</v>
      </c>
      <c r="E22" s="68">
        <f t="shared" si="4"/>
        <v>321.58007999999995</v>
      </c>
      <c r="F22" s="32">
        <f t="shared" si="0"/>
        <v>379.4644943999999</v>
      </c>
      <c r="G22" s="80">
        <f t="shared" si="5"/>
        <v>425.2896557999998</v>
      </c>
      <c r="H22" s="19">
        <f t="shared" si="1"/>
        <v>501.84179384399977</v>
      </c>
      <c r="I22" s="80">
        <f t="shared" si="2"/>
        <v>693.7843718789675</v>
      </c>
      <c r="J22" s="19">
        <f t="shared" si="3"/>
        <v>818.6655588171816</v>
      </c>
      <c r="K22" s="470">
        <f t="shared" si="6"/>
        <v>1.6313220000000004</v>
      </c>
      <c r="L22" s="471"/>
      <c r="M22" s="471"/>
      <c r="N22">
        <f t="shared" si="7"/>
        <v>231.26145729298915</v>
      </c>
    </row>
    <row r="23" spans="1:14" ht="12.75">
      <c r="A23" s="500" t="s">
        <v>944</v>
      </c>
      <c r="B23" s="499" t="s">
        <v>2534</v>
      </c>
      <c r="C23" s="204">
        <v>2.5</v>
      </c>
      <c r="D23" s="39">
        <v>248.63</v>
      </c>
      <c r="E23" s="68">
        <f t="shared" si="4"/>
        <v>267.9834</v>
      </c>
      <c r="F23" s="32">
        <f t="shared" si="0"/>
        <v>316.220412</v>
      </c>
      <c r="G23" s="80">
        <f t="shared" si="5"/>
        <v>354.40804649999995</v>
      </c>
      <c r="H23" s="19">
        <f t="shared" si="1"/>
        <v>418.2014948699999</v>
      </c>
      <c r="I23" s="80">
        <f t="shared" si="2"/>
        <v>578.1536432324731</v>
      </c>
      <c r="J23" s="19">
        <f t="shared" si="3"/>
        <v>682.2212990143182</v>
      </c>
      <c r="K23" s="470">
        <f t="shared" si="6"/>
        <v>1.6313220000000004</v>
      </c>
      <c r="L23" s="471"/>
      <c r="M23" s="471"/>
      <c r="N23">
        <f t="shared" si="7"/>
        <v>231.26145729298923</v>
      </c>
    </row>
    <row r="24" spans="1:14" ht="12.75">
      <c r="A24" s="500" t="s">
        <v>945</v>
      </c>
      <c r="B24" s="499" t="s">
        <v>868</v>
      </c>
      <c r="C24" s="204">
        <v>2.5</v>
      </c>
      <c r="D24" s="39">
        <v>248.63</v>
      </c>
      <c r="E24" s="68">
        <f t="shared" si="4"/>
        <v>267.9834</v>
      </c>
      <c r="F24" s="32">
        <f t="shared" si="0"/>
        <v>316.220412</v>
      </c>
      <c r="G24" s="80">
        <f t="shared" si="5"/>
        <v>354.40804649999995</v>
      </c>
      <c r="H24" s="19">
        <f t="shared" si="1"/>
        <v>418.2014948699999</v>
      </c>
      <c r="I24" s="80">
        <f t="shared" si="2"/>
        <v>578.1536432324731</v>
      </c>
      <c r="J24" s="19">
        <f t="shared" si="3"/>
        <v>682.2212990143182</v>
      </c>
      <c r="K24" s="470">
        <f t="shared" si="6"/>
        <v>1.6313220000000004</v>
      </c>
      <c r="L24" s="471"/>
      <c r="M24" s="471"/>
      <c r="N24">
        <f t="shared" si="7"/>
        <v>231.26145729298923</v>
      </c>
    </row>
    <row r="25" spans="1:14" ht="12.75">
      <c r="A25" s="500" t="s">
        <v>946</v>
      </c>
      <c r="B25" s="499" t="s">
        <v>2533</v>
      </c>
      <c r="C25" s="204">
        <v>2.5</v>
      </c>
      <c r="D25" s="39">
        <v>248.63</v>
      </c>
      <c r="E25" s="68">
        <f t="shared" si="4"/>
        <v>267.9834</v>
      </c>
      <c r="F25" s="32">
        <f t="shared" si="0"/>
        <v>316.220412</v>
      </c>
      <c r="G25" s="80">
        <f t="shared" si="5"/>
        <v>354.40804649999995</v>
      </c>
      <c r="H25" s="19">
        <f t="shared" si="1"/>
        <v>418.2014948699999</v>
      </c>
      <c r="I25" s="80">
        <f t="shared" si="2"/>
        <v>578.1536432324731</v>
      </c>
      <c r="J25" s="19">
        <f t="shared" si="3"/>
        <v>682.2212990143182</v>
      </c>
      <c r="K25" s="470">
        <f t="shared" si="6"/>
        <v>1.6313220000000004</v>
      </c>
      <c r="L25" s="471"/>
      <c r="M25" s="471"/>
      <c r="N25">
        <f t="shared" si="7"/>
        <v>231.26145729298923</v>
      </c>
    </row>
    <row r="26" spans="1:14" ht="12.75">
      <c r="A26" s="500" t="s">
        <v>947</v>
      </c>
      <c r="B26" s="499" t="s">
        <v>1035</v>
      </c>
      <c r="C26" s="204">
        <v>2.5</v>
      </c>
      <c r="D26" s="39">
        <v>248.63</v>
      </c>
      <c r="E26" s="68">
        <f t="shared" si="4"/>
        <v>267.9834</v>
      </c>
      <c r="F26" s="32">
        <f t="shared" si="0"/>
        <v>316.220412</v>
      </c>
      <c r="G26" s="80">
        <f t="shared" si="5"/>
        <v>354.40804649999995</v>
      </c>
      <c r="H26" s="19">
        <f t="shared" si="1"/>
        <v>418.2014948699999</v>
      </c>
      <c r="I26" s="80">
        <f t="shared" si="2"/>
        <v>578.1536432324731</v>
      </c>
      <c r="J26" s="19">
        <f t="shared" si="3"/>
        <v>682.2212990143182</v>
      </c>
      <c r="K26" s="470">
        <f t="shared" si="6"/>
        <v>1.6313220000000004</v>
      </c>
      <c r="L26" s="471"/>
      <c r="M26" s="471"/>
      <c r="N26">
        <f t="shared" si="7"/>
        <v>231.26145729298923</v>
      </c>
    </row>
    <row r="27" spans="1:14" ht="12.75">
      <c r="A27" s="500" t="s">
        <v>948</v>
      </c>
      <c r="B27" s="499" t="s">
        <v>869</v>
      </c>
      <c r="C27" s="204">
        <v>2</v>
      </c>
      <c r="D27" s="39">
        <v>198.9</v>
      </c>
      <c r="E27" s="68">
        <f t="shared" si="4"/>
        <v>214.38672</v>
      </c>
      <c r="F27" s="32">
        <f t="shared" si="0"/>
        <v>252.97632959999999</v>
      </c>
      <c r="G27" s="80">
        <f t="shared" si="5"/>
        <v>283.5264371999999</v>
      </c>
      <c r="H27" s="19">
        <f t="shared" si="1"/>
        <v>334.5611958959999</v>
      </c>
      <c r="I27" s="80">
        <f t="shared" si="2"/>
        <v>462.52291458597836</v>
      </c>
      <c r="J27" s="19">
        <f t="shared" si="3"/>
        <v>545.7770392114544</v>
      </c>
      <c r="K27" s="94">
        <f t="shared" si="6"/>
        <v>1.6313220000000004</v>
      </c>
      <c r="N27">
        <f t="shared" si="7"/>
        <v>231.26145729298918</v>
      </c>
    </row>
    <row r="28" spans="1:14" ht="12.75">
      <c r="A28" s="500" t="s">
        <v>949</v>
      </c>
      <c r="B28" s="499" t="s">
        <v>1036</v>
      </c>
      <c r="C28" s="204">
        <v>2</v>
      </c>
      <c r="D28" s="39">
        <v>198.9</v>
      </c>
      <c r="E28" s="68">
        <f t="shared" si="4"/>
        <v>214.38672</v>
      </c>
      <c r="F28" s="32">
        <f t="shared" si="0"/>
        <v>252.97632959999999</v>
      </c>
      <c r="G28" s="80">
        <f t="shared" si="5"/>
        <v>283.5264371999999</v>
      </c>
      <c r="H28" s="19">
        <f t="shared" si="1"/>
        <v>334.5611958959999</v>
      </c>
      <c r="I28" s="80">
        <f t="shared" si="2"/>
        <v>462.52291458597836</v>
      </c>
      <c r="J28" s="19">
        <f t="shared" si="3"/>
        <v>545.7770392114544</v>
      </c>
      <c r="K28" s="94">
        <f t="shared" si="6"/>
        <v>1.6313220000000004</v>
      </c>
      <c r="N28">
        <f t="shared" si="7"/>
        <v>231.26145729298918</v>
      </c>
    </row>
    <row r="29" spans="1:14" ht="12.75">
      <c r="A29" s="500" t="s">
        <v>950</v>
      </c>
      <c r="B29" s="499" t="s">
        <v>2224</v>
      </c>
      <c r="C29" s="204">
        <v>1.5</v>
      </c>
      <c r="D29" s="39">
        <v>149.17</v>
      </c>
      <c r="E29" s="68">
        <f t="shared" si="4"/>
        <v>160.79003999999998</v>
      </c>
      <c r="F29" s="32">
        <f t="shared" si="0"/>
        <v>189.73224719999996</v>
      </c>
      <c r="G29" s="80">
        <f t="shared" si="5"/>
        <v>212.6448278999999</v>
      </c>
      <c r="H29" s="19">
        <f t="shared" si="1"/>
        <v>250.92089692199988</v>
      </c>
      <c r="I29" s="80">
        <f t="shared" si="2"/>
        <v>346.89218593948374</v>
      </c>
      <c r="J29" s="19">
        <f t="shared" si="3"/>
        <v>409.3327794085908</v>
      </c>
      <c r="K29" s="94">
        <f t="shared" si="6"/>
        <v>1.6313220000000004</v>
      </c>
      <c r="N29">
        <f t="shared" si="7"/>
        <v>231.26145729298915</v>
      </c>
    </row>
    <row r="30" spans="1:14" s="93" customFormat="1" ht="12.75">
      <c r="A30" s="500" t="s">
        <v>951</v>
      </c>
      <c r="B30" s="499" t="s">
        <v>570</v>
      </c>
      <c r="C30" s="204">
        <v>2</v>
      </c>
      <c r="D30" s="39">
        <v>198.9</v>
      </c>
      <c r="E30" s="68">
        <f t="shared" si="4"/>
        <v>214.38672</v>
      </c>
      <c r="F30" s="32">
        <f t="shared" si="0"/>
        <v>252.97632959999999</v>
      </c>
      <c r="G30" s="80">
        <f t="shared" si="5"/>
        <v>283.5264371999999</v>
      </c>
      <c r="H30" s="19">
        <f t="shared" si="1"/>
        <v>334.5611958959999</v>
      </c>
      <c r="I30" s="80">
        <f t="shared" si="2"/>
        <v>462.52291458597836</v>
      </c>
      <c r="J30" s="19">
        <f t="shared" si="3"/>
        <v>545.7770392114544</v>
      </c>
      <c r="K30" s="470">
        <f t="shared" si="6"/>
        <v>1.6313220000000004</v>
      </c>
      <c r="L30" s="471"/>
      <c r="M30" s="471"/>
      <c r="N30">
        <f t="shared" si="7"/>
        <v>231.26145729298918</v>
      </c>
    </row>
    <row r="31" spans="1:14" ht="12.75">
      <c r="A31" s="500" t="s">
        <v>952</v>
      </c>
      <c r="B31" s="499" t="s">
        <v>561</v>
      </c>
      <c r="C31" s="204">
        <v>2.5</v>
      </c>
      <c r="D31" s="39">
        <v>248.63</v>
      </c>
      <c r="E31" s="68">
        <f t="shared" si="4"/>
        <v>267.9834</v>
      </c>
      <c r="F31" s="32">
        <f t="shared" si="0"/>
        <v>316.220412</v>
      </c>
      <c r="G31" s="80">
        <f t="shared" si="5"/>
        <v>354.40804649999995</v>
      </c>
      <c r="H31" s="19">
        <f t="shared" si="1"/>
        <v>418.2014948699999</v>
      </c>
      <c r="I31" s="80">
        <f t="shared" si="2"/>
        <v>578.1536432324731</v>
      </c>
      <c r="J31" s="19">
        <f t="shared" si="3"/>
        <v>682.2212990143182</v>
      </c>
      <c r="K31" s="94">
        <f t="shared" si="6"/>
        <v>1.6313220000000004</v>
      </c>
      <c r="N31">
        <f t="shared" si="7"/>
        <v>231.26145729298923</v>
      </c>
    </row>
    <row r="32" spans="1:14" ht="12.75">
      <c r="A32" s="500" t="s">
        <v>953</v>
      </c>
      <c r="B32" s="499" t="s">
        <v>700</v>
      </c>
      <c r="C32" s="204">
        <v>2.5</v>
      </c>
      <c r="D32" s="39">
        <v>248.63</v>
      </c>
      <c r="E32" s="68">
        <f t="shared" si="4"/>
        <v>267.9834</v>
      </c>
      <c r="F32" s="32">
        <f t="shared" si="0"/>
        <v>316.220412</v>
      </c>
      <c r="G32" s="80">
        <f t="shared" si="5"/>
        <v>354.40804649999995</v>
      </c>
      <c r="H32" s="19">
        <f t="shared" si="1"/>
        <v>418.2014948699999</v>
      </c>
      <c r="I32" s="80">
        <f t="shared" si="2"/>
        <v>578.1536432324731</v>
      </c>
      <c r="J32" s="19">
        <f t="shared" si="3"/>
        <v>682.2212990143182</v>
      </c>
      <c r="K32" s="470">
        <f t="shared" si="6"/>
        <v>1.6313220000000004</v>
      </c>
      <c r="L32" s="471"/>
      <c r="M32" s="471"/>
      <c r="N32">
        <f t="shared" si="7"/>
        <v>231.26145729298923</v>
      </c>
    </row>
    <row r="33" spans="1:14" ht="12.75">
      <c r="A33" s="500" t="s">
        <v>954</v>
      </c>
      <c r="B33" s="499" t="s">
        <v>870</v>
      </c>
      <c r="C33" s="204">
        <v>1.5</v>
      </c>
      <c r="D33" s="39">
        <v>149.17</v>
      </c>
      <c r="E33" s="68">
        <f t="shared" si="4"/>
        <v>160.79003999999998</v>
      </c>
      <c r="F33" s="32">
        <f t="shared" si="0"/>
        <v>189.73224719999996</v>
      </c>
      <c r="G33" s="80">
        <f t="shared" si="5"/>
        <v>212.6448278999999</v>
      </c>
      <c r="H33" s="19">
        <f t="shared" si="1"/>
        <v>250.92089692199988</v>
      </c>
      <c r="I33" s="80">
        <f t="shared" si="2"/>
        <v>346.89218593948374</v>
      </c>
      <c r="J33" s="19">
        <f t="shared" si="3"/>
        <v>409.3327794085908</v>
      </c>
      <c r="K33" s="94">
        <f t="shared" si="6"/>
        <v>1.6313220000000004</v>
      </c>
      <c r="N33">
        <f t="shared" si="7"/>
        <v>231.26145729298915</v>
      </c>
    </row>
    <row r="34" spans="1:14" ht="12.75">
      <c r="A34" s="500" t="s">
        <v>955</v>
      </c>
      <c r="B34" s="499" t="s">
        <v>1139</v>
      </c>
      <c r="C34" s="204">
        <v>2.5</v>
      </c>
      <c r="D34" s="39">
        <v>248.63</v>
      </c>
      <c r="E34" s="68">
        <f t="shared" si="4"/>
        <v>267.9834</v>
      </c>
      <c r="F34" s="32">
        <f t="shared" si="0"/>
        <v>316.220412</v>
      </c>
      <c r="G34" s="80">
        <f t="shared" si="5"/>
        <v>354.40804649999995</v>
      </c>
      <c r="H34" s="19">
        <f t="shared" si="1"/>
        <v>418.2014948699999</v>
      </c>
      <c r="I34" s="80">
        <f t="shared" si="2"/>
        <v>578.1536432324731</v>
      </c>
      <c r="J34" s="19">
        <f t="shared" si="3"/>
        <v>682.2212990143182</v>
      </c>
      <c r="K34" s="94">
        <f t="shared" si="6"/>
        <v>1.6313220000000004</v>
      </c>
      <c r="N34">
        <f t="shared" si="7"/>
        <v>231.26145729298923</v>
      </c>
    </row>
    <row r="35" spans="1:14" ht="12.75">
      <c r="A35" s="500" t="s">
        <v>956</v>
      </c>
      <c r="B35" s="499" t="s">
        <v>871</v>
      </c>
      <c r="C35" s="204">
        <v>3</v>
      </c>
      <c r="D35" s="39" t="s">
        <v>2529</v>
      </c>
      <c r="E35" s="68">
        <f t="shared" si="4"/>
        <v>321.58007999999995</v>
      </c>
      <c r="F35" s="32">
        <f t="shared" si="0"/>
        <v>379.4644943999999</v>
      </c>
      <c r="G35" s="80">
        <f t="shared" si="5"/>
        <v>425.2896557999998</v>
      </c>
      <c r="H35" s="19">
        <f t="shared" si="1"/>
        <v>501.84179384399977</v>
      </c>
      <c r="I35" s="80">
        <f t="shared" si="2"/>
        <v>693.7843718789675</v>
      </c>
      <c r="J35" s="19">
        <f t="shared" si="3"/>
        <v>818.6655588171816</v>
      </c>
      <c r="K35" s="470">
        <f t="shared" si="6"/>
        <v>1.6313220000000004</v>
      </c>
      <c r="L35" s="471"/>
      <c r="M35" s="471"/>
      <c r="N35">
        <f t="shared" si="7"/>
        <v>231.26145729298915</v>
      </c>
    </row>
    <row r="36" spans="1:14" ht="12.75">
      <c r="A36" s="500" t="s">
        <v>957</v>
      </c>
      <c r="B36" s="499" t="s">
        <v>872</v>
      </c>
      <c r="C36" s="204">
        <v>3</v>
      </c>
      <c r="D36" s="39">
        <v>298.35</v>
      </c>
      <c r="E36" s="68">
        <f t="shared" si="4"/>
        <v>321.58007999999995</v>
      </c>
      <c r="F36" s="32">
        <f t="shared" si="0"/>
        <v>379.4644943999999</v>
      </c>
      <c r="G36" s="80">
        <f t="shared" si="5"/>
        <v>425.2896557999998</v>
      </c>
      <c r="H36" s="19">
        <f t="shared" si="1"/>
        <v>501.84179384399977</v>
      </c>
      <c r="I36" s="80">
        <f t="shared" si="2"/>
        <v>693.7843718789675</v>
      </c>
      <c r="J36" s="19">
        <f t="shared" si="3"/>
        <v>818.6655588171816</v>
      </c>
      <c r="K36" s="470">
        <f t="shared" si="6"/>
        <v>1.6313220000000004</v>
      </c>
      <c r="L36" s="471"/>
      <c r="M36" s="471"/>
      <c r="N36">
        <f t="shared" si="7"/>
        <v>231.26145729298915</v>
      </c>
    </row>
    <row r="37" spans="1:14" ht="12.75">
      <c r="A37" s="500" t="s">
        <v>958</v>
      </c>
      <c r="B37" s="499" t="s">
        <v>698</v>
      </c>
      <c r="C37" s="204">
        <v>3</v>
      </c>
      <c r="D37" s="39">
        <v>298.35</v>
      </c>
      <c r="E37" s="68">
        <f t="shared" si="4"/>
        <v>321.58007999999995</v>
      </c>
      <c r="F37" s="32">
        <f t="shared" si="0"/>
        <v>379.4644943999999</v>
      </c>
      <c r="G37" s="80">
        <f t="shared" si="5"/>
        <v>425.2896557999998</v>
      </c>
      <c r="H37" s="19">
        <f t="shared" si="1"/>
        <v>501.84179384399977</v>
      </c>
      <c r="I37" s="80">
        <f t="shared" si="2"/>
        <v>693.7843718789675</v>
      </c>
      <c r="J37" s="19">
        <f t="shared" si="3"/>
        <v>818.6655588171816</v>
      </c>
      <c r="K37" s="470">
        <f t="shared" si="6"/>
        <v>1.6313220000000004</v>
      </c>
      <c r="L37" s="471"/>
      <c r="M37" s="471"/>
      <c r="N37">
        <f t="shared" si="7"/>
        <v>231.26145729298915</v>
      </c>
    </row>
    <row r="38" spans="1:14" ht="12.75">
      <c r="A38" s="500" t="s">
        <v>959</v>
      </c>
      <c r="B38" s="499" t="s">
        <v>2535</v>
      </c>
      <c r="C38" s="204">
        <v>3</v>
      </c>
      <c r="D38" s="39">
        <v>298.35</v>
      </c>
      <c r="E38" s="68">
        <f t="shared" si="4"/>
        <v>321.58007999999995</v>
      </c>
      <c r="F38" s="32">
        <f t="shared" si="0"/>
        <v>379.4644943999999</v>
      </c>
      <c r="G38" s="80">
        <f t="shared" si="5"/>
        <v>425.2896557999998</v>
      </c>
      <c r="H38" s="19">
        <f t="shared" si="1"/>
        <v>501.84179384399977</v>
      </c>
      <c r="I38" s="80">
        <f t="shared" si="2"/>
        <v>693.7843718789675</v>
      </c>
      <c r="J38" s="19">
        <f t="shared" si="3"/>
        <v>818.6655588171816</v>
      </c>
      <c r="K38" s="470">
        <f t="shared" si="6"/>
        <v>1.6313220000000004</v>
      </c>
      <c r="L38" s="471"/>
      <c r="M38" s="471"/>
      <c r="N38">
        <f t="shared" si="7"/>
        <v>231.26145729298915</v>
      </c>
    </row>
    <row r="39" spans="1:14" ht="12.75">
      <c r="A39" s="500" t="s">
        <v>960</v>
      </c>
      <c r="B39" s="499" t="s">
        <v>873</v>
      </c>
      <c r="C39" s="204">
        <v>3</v>
      </c>
      <c r="D39" s="39">
        <v>298.35</v>
      </c>
      <c r="E39" s="68">
        <f t="shared" si="4"/>
        <v>321.58007999999995</v>
      </c>
      <c r="F39" s="32">
        <f t="shared" si="0"/>
        <v>379.4644943999999</v>
      </c>
      <c r="G39" s="80">
        <f t="shared" si="5"/>
        <v>425.2896557999998</v>
      </c>
      <c r="H39" s="19">
        <f t="shared" si="1"/>
        <v>501.84179384399977</v>
      </c>
      <c r="I39" s="80">
        <f t="shared" si="2"/>
        <v>693.7843718789675</v>
      </c>
      <c r="J39" s="19">
        <f t="shared" si="3"/>
        <v>818.6655588171816</v>
      </c>
      <c r="K39" s="94">
        <f t="shared" si="6"/>
        <v>1.6313220000000004</v>
      </c>
      <c r="N39">
        <f t="shared" si="7"/>
        <v>231.26145729298915</v>
      </c>
    </row>
    <row r="40" spans="1:14" ht="12.75">
      <c r="A40" s="500" t="s">
        <v>961</v>
      </c>
      <c r="B40" s="499" t="s">
        <v>874</v>
      </c>
      <c r="C40" s="204">
        <v>2.5</v>
      </c>
      <c r="D40" s="39">
        <v>248.63</v>
      </c>
      <c r="E40" s="68">
        <f t="shared" si="4"/>
        <v>267.9834</v>
      </c>
      <c r="F40" s="32">
        <f t="shared" si="0"/>
        <v>316.220412</v>
      </c>
      <c r="G40" s="80">
        <f t="shared" si="5"/>
        <v>354.40804649999995</v>
      </c>
      <c r="H40" s="19">
        <f t="shared" si="1"/>
        <v>418.2014948699999</v>
      </c>
      <c r="I40" s="80">
        <f t="shared" si="2"/>
        <v>578.1536432324731</v>
      </c>
      <c r="J40" s="19">
        <f t="shared" si="3"/>
        <v>682.2212990143182</v>
      </c>
      <c r="K40" s="94">
        <f>I40/G40</f>
        <v>1.6313220000000004</v>
      </c>
      <c r="N40">
        <f t="shared" si="7"/>
        <v>231.26145729298923</v>
      </c>
    </row>
    <row r="41" spans="1:14" ht="12.75">
      <c r="A41" s="500" t="s">
        <v>962</v>
      </c>
      <c r="B41" s="499" t="s">
        <v>716</v>
      </c>
      <c r="C41" s="204">
        <v>2.5</v>
      </c>
      <c r="D41" s="39">
        <v>248.63</v>
      </c>
      <c r="E41" s="68">
        <f t="shared" si="4"/>
        <v>267.9834</v>
      </c>
      <c r="F41" s="32">
        <f t="shared" si="0"/>
        <v>316.220412</v>
      </c>
      <c r="G41" s="80">
        <f t="shared" si="5"/>
        <v>354.40804649999995</v>
      </c>
      <c r="H41" s="19">
        <f t="shared" si="1"/>
        <v>418.2014948699999</v>
      </c>
      <c r="I41" s="80">
        <f t="shared" si="2"/>
        <v>578.1536432324731</v>
      </c>
      <c r="J41" s="19">
        <f t="shared" si="3"/>
        <v>682.2212990143182</v>
      </c>
      <c r="K41" s="94">
        <f t="shared" si="6"/>
        <v>1.6313220000000004</v>
      </c>
      <c r="N41">
        <f t="shared" si="7"/>
        <v>231.26145729298923</v>
      </c>
    </row>
    <row r="42" spans="1:14" ht="12.75">
      <c r="A42" s="500" t="s">
        <v>963</v>
      </c>
      <c r="B42" s="499" t="s">
        <v>875</v>
      </c>
      <c r="C42" s="204">
        <v>3</v>
      </c>
      <c r="D42" s="39">
        <v>298.35</v>
      </c>
      <c r="E42" s="68">
        <f t="shared" si="4"/>
        <v>321.58007999999995</v>
      </c>
      <c r="F42" s="32">
        <f t="shared" si="0"/>
        <v>379.4644943999999</v>
      </c>
      <c r="G42" s="80">
        <f t="shared" si="5"/>
        <v>425.2896557999998</v>
      </c>
      <c r="H42" s="19">
        <f t="shared" si="1"/>
        <v>501.84179384399977</v>
      </c>
      <c r="I42" s="80">
        <f t="shared" si="2"/>
        <v>693.7843718789675</v>
      </c>
      <c r="J42" s="19">
        <f t="shared" si="3"/>
        <v>818.6655588171816</v>
      </c>
      <c r="K42" s="94">
        <f t="shared" si="6"/>
        <v>1.6313220000000004</v>
      </c>
      <c r="N42">
        <f t="shared" si="7"/>
        <v>231.26145729298915</v>
      </c>
    </row>
    <row r="43" spans="1:14" ht="25.5">
      <c r="A43" s="500" t="s">
        <v>964</v>
      </c>
      <c r="B43" s="499" t="s">
        <v>706</v>
      </c>
      <c r="C43" s="204">
        <v>3.5</v>
      </c>
      <c r="D43" s="39">
        <v>546.97</v>
      </c>
      <c r="E43" s="68">
        <f t="shared" si="4"/>
        <v>375.17676</v>
      </c>
      <c r="F43" s="32">
        <f t="shared" si="0"/>
        <v>442.7085768</v>
      </c>
      <c r="G43" s="80">
        <f t="shared" si="5"/>
        <v>496.1712650999999</v>
      </c>
      <c r="H43" s="19">
        <f t="shared" si="1"/>
        <v>585.4820928179998</v>
      </c>
      <c r="I43" s="80">
        <f t="shared" si="2"/>
        <v>809.4151005254622</v>
      </c>
      <c r="J43" s="19">
        <f t="shared" si="3"/>
        <v>955.1098186200453</v>
      </c>
      <c r="K43" s="94">
        <f t="shared" si="6"/>
        <v>1.6313220000000004</v>
      </c>
      <c r="N43">
        <f t="shared" si="7"/>
        <v>231.2614572929892</v>
      </c>
    </row>
    <row r="44" spans="1:14" ht="38.25">
      <c r="A44" s="500" t="s">
        <v>965</v>
      </c>
      <c r="B44" s="499" t="s">
        <v>3037</v>
      </c>
      <c r="C44" s="74">
        <v>3.5</v>
      </c>
      <c r="D44" s="80">
        <v>669.95</v>
      </c>
      <c r="E44" s="80">
        <v>789.36</v>
      </c>
      <c r="F44" s="69"/>
      <c r="G44" s="80"/>
      <c r="H44" s="80"/>
      <c r="I44" s="80">
        <f>668.94*1.1*1.1</f>
        <v>809.4174000000003</v>
      </c>
      <c r="J44" s="19">
        <f>I44*1.18</f>
        <v>955.1125320000002</v>
      </c>
      <c r="K44" s="470"/>
      <c r="L44" s="471"/>
      <c r="M44" s="471"/>
      <c r="N44">
        <f t="shared" si="7"/>
        <v>231.26211428571438</v>
      </c>
    </row>
    <row r="45" spans="1:14" s="93" customFormat="1" ht="51">
      <c r="A45" s="361" t="s">
        <v>966</v>
      </c>
      <c r="B45" s="349" t="s">
        <v>3038</v>
      </c>
      <c r="C45" s="204">
        <v>5.3</v>
      </c>
      <c r="D45" s="27"/>
      <c r="E45" s="68">
        <f>C45*97.36*1.101</f>
        <v>568.1248079999999</v>
      </c>
      <c r="F45" s="69">
        <f>E45*1.18</f>
        <v>670.3872734399998</v>
      </c>
      <c r="G45" s="80">
        <v>1035.26</v>
      </c>
      <c r="H45" s="80">
        <f>G45*1.18</f>
        <v>1221.6068</v>
      </c>
      <c r="I45" s="80">
        <f>C45*N46*1.1*1.1</f>
        <v>1235.9032824285716</v>
      </c>
      <c r="J45" s="19">
        <f>I45*1.18</f>
        <v>1458.3658732657145</v>
      </c>
      <c r="K45" s="489"/>
      <c r="L45" s="369"/>
      <c r="M45" s="80"/>
      <c r="N45">
        <f t="shared" si="7"/>
        <v>233.18929857142862</v>
      </c>
    </row>
    <row r="46" spans="1:14" ht="25.5">
      <c r="A46" s="361"/>
      <c r="B46" s="349" t="s">
        <v>3039</v>
      </c>
      <c r="C46" s="204">
        <v>3.5</v>
      </c>
      <c r="D46" s="27"/>
      <c r="E46" s="68"/>
      <c r="F46" s="69"/>
      <c r="G46" s="80"/>
      <c r="H46" s="80"/>
      <c r="I46" s="80">
        <f>557.45*1.1*1.1</f>
        <v>674.5145000000001</v>
      </c>
      <c r="J46" s="19">
        <f aca="true" t="shared" si="8" ref="J46:J67">I46*1.18</f>
        <v>795.9271100000001</v>
      </c>
      <c r="K46" s="489">
        <f aca="true" t="shared" si="9" ref="K46:K51">I46*97.36*1.101</f>
        <v>72303.47562372</v>
      </c>
      <c r="L46" s="369">
        <f aca="true" t="shared" si="10" ref="L46:L51">K46*1.18</f>
        <v>85318.1012359896</v>
      </c>
      <c r="M46" s="80">
        <v>557.45</v>
      </c>
      <c r="N46">
        <f t="shared" si="7"/>
        <v>192.7184285714286</v>
      </c>
    </row>
    <row r="47" spans="1:15" s="111" customFormat="1" ht="27.75" customHeight="1">
      <c r="A47" s="361"/>
      <c r="B47" s="349" t="s">
        <v>3040</v>
      </c>
      <c r="C47" s="204">
        <v>3.8</v>
      </c>
      <c r="D47" s="27"/>
      <c r="E47" s="68"/>
      <c r="F47" s="69"/>
      <c r="G47" s="80"/>
      <c r="H47" s="80"/>
      <c r="I47" s="80">
        <f>605.23*1.1*1.1</f>
        <v>732.3283000000001</v>
      </c>
      <c r="J47" s="19">
        <f t="shared" si="8"/>
        <v>864.1473940000001</v>
      </c>
      <c r="K47" s="489">
        <f t="shared" si="9"/>
        <v>78500.73110008801</v>
      </c>
      <c r="L47" s="369">
        <f t="shared" si="10"/>
        <v>92630.86269810385</v>
      </c>
      <c r="M47" s="80">
        <v>605.23</v>
      </c>
      <c r="N47">
        <f t="shared" si="7"/>
        <v>192.71797368421056</v>
      </c>
      <c r="O47">
        <f>I16/C16</f>
        <v>231.26145729298918</v>
      </c>
    </row>
    <row r="48" spans="1:14" ht="25.5">
      <c r="A48" s="361"/>
      <c r="B48" s="349" t="s">
        <v>3041</v>
      </c>
      <c r="C48" s="204">
        <v>4.1</v>
      </c>
      <c r="D48" s="27"/>
      <c r="E48" s="68"/>
      <c r="F48" s="69"/>
      <c r="G48" s="80"/>
      <c r="H48" s="80"/>
      <c r="I48" s="80">
        <f>653.01*1.1*1.1</f>
        <v>790.1421000000001</v>
      </c>
      <c r="J48" s="19">
        <f t="shared" si="8"/>
        <v>932.3676780000001</v>
      </c>
      <c r="K48" s="489">
        <f t="shared" si="9"/>
        <v>84697.98657645601</v>
      </c>
      <c r="L48" s="369">
        <f t="shared" si="10"/>
        <v>99943.62416021808</v>
      </c>
      <c r="M48" s="80">
        <v>653.01</v>
      </c>
      <c r="N48">
        <f t="shared" si="7"/>
        <v>192.71758536585372</v>
      </c>
    </row>
    <row r="49" spans="1:14" ht="25.5">
      <c r="A49" s="361"/>
      <c r="B49" s="349" t="s">
        <v>3042</v>
      </c>
      <c r="C49" s="204">
        <v>4.4</v>
      </c>
      <c r="D49" s="27"/>
      <c r="E49" s="68"/>
      <c r="F49" s="69"/>
      <c r="G49" s="80"/>
      <c r="H49" s="80"/>
      <c r="I49" s="80">
        <f>700.79*1.1*1.1</f>
        <v>847.9559000000002</v>
      </c>
      <c r="J49" s="19">
        <f t="shared" si="8"/>
        <v>1000.5879620000002</v>
      </c>
      <c r="K49" s="489">
        <f t="shared" si="9"/>
        <v>90895.24205282402</v>
      </c>
      <c r="L49" s="369">
        <f t="shared" si="10"/>
        <v>107256.38562233234</v>
      </c>
      <c r="M49" s="80">
        <v>700.79</v>
      </c>
      <c r="N49">
        <f t="shared" si="7"/>
        <v>192.71725</v>
      </c>
    </row>
    <row r="50" spans="1:14" ht="25.5">
      <c r="A50" s="361"/>
      <c r="B50" s="349" t="s">
        <v>3043</v>
      </c>
      <c r="C50" s="204">
        <v>4.7</v>
      </c>
      <c r="D50" s="27"/>
      <c r="E50" s="68"/>
      <c r="F50" s="69"/>
      <c r="G50" s="80"/>
      <c r="H50" s="80"/>
      <c r="I50" s="80">
        <f>748.57*1.1*1.1</f>
        <v>905.7697000000002</v>
      </c>
      <c r="J50" s="19">
        <f t="shared" si="8"/>
        <v>1068.808246</v>
      </c>
      <c r="K50" s="489">
        <f t="shared" si="9"/>
        <v>97092.49752919201</v>
      </c>
      <c r="L50" s="369">
        <f t="shared" si="10"/>
        <v>114569.14708444657</v>
      </c>
      <c r="M50" s="80">
        <v>748.57</v>
      </c>
      <c r="N50">
        <f t="shared" si="7"/>
        <v>192.71695744680855</v>
      </c>
    </row>
    <row r="51" spans="1:14" ht="25.5">
      <c r="A51" s="361"/>
      <c r="B51" s="349" t="s">
        <v>3044</v>
      </c>
      <c r="C51" s="204">
        <v>5</v>
      </c>
      <c r="D51" s="27"/>
      <c r="E51" s="68"/>
      <c r="F51" s="69"/>
      <c r="G51" s="80"/>
      <c r="H51" s="80"/>
      <c r="I51" s="80">
        <f>796.35*1.1*1.1</f>
        <v>963.5835000000002</v>
      </c>
      <c r="J51" s="19">
        <f t="shared" si="8"/>
        <v>1137.02853</v>
      </c>
      <c r="K51" s="489">
        <f t="shared" si="9"/>
        <v>103289.75300556002</v>
      </c>
      <c r="L51" s="369">
        <f t="shared" si="10"/>
        <v>121881.90854656082</v>
      </c>
      <c r="M51" s="80">
        <v>796.35</v>
      </c>
      <c r="N51">
        <f t="shared" si="7"/>
        <v>192.71670000000003</v>
      </c>
    </row>
    <row r="52" spans="1:14" ht="51">
      <c r="A52" s="361" t="s">
        <v>967</v>
      </c>
      <c r="B52" s="349" t="s">
        <v>3045</v>
      </c>
      <c r="C52" s="204">
        <v>5.3</v>
      </c>
      <c r="D52" s="27"/>
      <c r="E52" s="68">
        <f>C52*97.36*1.101</f>
        <v>568.1248079999999</v>
      </c>
      <c r="F52" s="69">
        <f>E52*1.18</f>
        <v>670.3872734399998</v>
      </c>
      <c r="G52" s="80">
        <v>1035.26</v>
      </c>
      <c r="H52" s="80">
        <f>G52*1.18</f>
        <v>1221.6068</v>
      </c>
      <c r="I52" s="80">
        <f>844.14*1.1*1.1</f>
        <v>1021.4094000000002</v>
      </c>
      <c r="J52" s="19">
        <f>I52*1.18</f>
        <v>1205.2630920000001</v>
      </c>
      <c r="K52" s="60"/>
      <c r="L52" s="61"/>
      <c r="M52" s="97"/>
      <c r="N52">
        <f t="shared" si="7"/>
        <v>192.71875471698118</v>
      </c>
    </row>
    <row r="53" spans="1:14" ht="25.5">
      <c r="A53" s="361"/>
      <c r="B53" s="349" t="s">
        <v>3046</v>
      </c>
      <c r="C53" s="204">
        <v>3.5</v>
      </c>
      <c r="D53" s="27"/>
      <c r="E53" s="68"/>
      <c r="F53" s="69"/>
      <c r="G53" s="80"/>
      <c r="H53" s="80"/>
      <c r="I53" s="80">
        <f>557.45*1.1*1.1</f>
        <v>674.5145000000001</v>
      </c>
      <c r="J53" s="19">
        <f t="shared" si="8"/>
        <v>795.9271100000001</v>
      </c>
      <c r="K53" s="60"/>
      <c r="L53" s="61"/>
      <c r="M53" s="97"/>
      <c r="N53">
        <f t="shared" si="7"/>
        <v>192.7184285714286</v>
      </c>
    </row>
    <row r="54" spans="1:14" ht="25.5">
      <c r="A54" s="361"/>
      <c r="B54" s="349" t="s">
        <v>3047</v>
      </c>
      <c r="C54" s="204">
        <v>3.8</v>
      </c>
      <c r="D54" s="27"/>
      <c r="E54" s="68"/>
      <c r="F54" s="69"/>
      <c r="G54" s="80"/>
      <c r="H54" s="80"/>
      <c r="I54" s="80">
        <f>605.23*1.1*1.1</f>
        <v>732.3283000000001</v>
      </c>
      <c r="J54" s="19">
        <f t="shared" si="8"/>
        <v>864.1473940000001</v>
      </c>
      <c r="K54" s="60"/>
      <c r="L54" s="61"/>
      <c r="M54" s="97"/>
      <c r="N54">
        <f t="shared" si="7"/>
        <v>192.71797368421056</v>
      </c>
    </row>
    <row r="55" spans="1:14" ht="25.5">
      <c r="A55" s="361"/>
      <c r="B55" s="349" t="s">
        <v>3048</v>
      </c>
      <c r="C55" s="204">
        <v>4.1</v>
      </c>
      <c r="D55" s="27"/>
      <c r="E55" s="68"/>
      <c r="F55" s="69"/>
      <c r="G55" s="80"/>
      <c r="H55" s="80"/>
      <c r="I55" s="80">
        <f>653.01*1.1*1.1</f>
        <v>790.1421000000001</v>
      </c>
      <c r="J55" s="19">
        <f t="shared" si="8"/>
        <v>932.3676780000001</v>
      </c>
      <c r="K55" s="60"/>
      <c r="L55" s="61"/>
      <c r="M55" s="97"/>
      <c r="N55">
        <f t="shared" si="7"/>
        <v>192.71758536585372</v>
      </c>
    </row>
    <row r="56" spans="1:14" s="111" customFormat="1" ht="25.5">
      <c r="A56" s="361"/>
      <c r="B56" s="349" t="s">
        <v>3049</v>
      </c>
      <c r="C56" s="204">
        <v>4.4</v>
      </c>
      <c r="D56" s="27"/>
      <c r="E56" s="68"/>
      <c r="F56" s="69"/>
      <c r="G56" s="80"/>
      <c r="H56" s="80"/>
      <c r="I56" s="80">
        <f>700.79*1.1*1.1</f>
        <v>847.9559000000002</v>
      </c>
      <c r="J56" s="19">
        <f t="shared" si="8"/>
        <v>1000.5879620000002</v>
      </c>
      <c r="K56" s="60"/>
      <c r="L56" s="61"/>
      <c r="M56" s="97"/>
      <c r="N56">
        <f t="shared" si="7"/>
        <v>192.71725</v>
      </c>
    </row>
    <row r="57" spans="1:14" ht="25.5">
      <c r="A57" s="361"/>
      <c r="B57" s="349" t="s">
        <v>3050</v>
      </c>
      <c r="C57" s="204">
        <v>4.7</v>
      </c>
      <c r="D57" s="27"/>
      <c r="E57" s="68"/>
      <c r="F57" s="69"/>
      <c r="G57" s="80"/>
      <c r="H57" s="80"/>
      <c r="I57" s="80">
        <f>748.57*1.1*1.1</f>
        <v>905.7697000000002</v>
      </c>
      <c r="J57" s="19">
        <f t="shared" si="8"/>
        <v>1068.808246</v>
      </c>
      <c r="K57" s="60"/>
      <c r="L57" s="61"/>
      <c r="M57" s="97"/>
      <c r="N57">
        <f t="shared" si="7"/>
        <v>192.71695744680855</v>
      </c>
    </row>
    <row r="58" spans="1:14" ht="25.5">
      <c r="A58" s="361"/>
      <c r="B58" s="349" t="s">
        <v>3051</v>
      </c>
      <c r="C58" s="204">
        <v>5</v>
      </c>
      <c r="D58" s="27"/>
      <c r="E58" s="68"/>
      <c r="F58" s="69"/>
      <c r="G58" s="80"/>
      <c r="H58" s="80"/>
      <c r="I58" s="80">
        <f>796.35*1.1*1.1</f>
        <v>963.5835000000002</v>
      </c>
      <c r="J58" s="19">
        <f t="shared" si="8"/>
        <v>1137.02853</v>
      </c>
      <c r="K58" s="60"/>
      <c r="L58" s="61"/>
      <c r="M58" s="97"/>
      <c r="N58">
        <f t="shared" si="7"/>
        <v>192.71670000000003</v>
      </c>
    </row>
    <row r="59" spans="1:14" ht="51">
      <c r="A59" s="673" t="s">
        <v>3052</v>
      </c>
      <c r="B59" s="349" t="s">
        <v>3053</v>
      </c>
      <c r="C59" s="204">
        <v>5.9</v>
      </c>
      <c r="D59" s="27"/>
      <c r="E59" s="68"/>
      <c r="F59" s="69"/>
      <c r="G59" s="80"/>
      <c r="H59" s="80"/>
      <c r="I59" s="80">
        <f>939.69*1.1*1.1</f>
        <v>1137.0249000000001</v>
      </c>
      <c r="J59" s="19">
        <f>I59*1.18</f>
        <v>1341.689382</v>
      </c>
      <c r="K59" s="60"/>
      <c r="L59" s="61"/>
      <c r="M59" s="97"/>
      <c r="N59">
        <f t="shared" si="7"/>
        <v>192.7160847457627</v>
      </c>
    </row>
    <row r="60" spans="1:14" ht="25.5">
      <c r="A60" s="361"/>
      <c r="B60" s="349" t="s">
        <v>3054</v>
      </c>
      <c r="C60" s="204">
        <v>3.5</v>
      </c>
      <c r="D60" s="27"/>
      <c r="E60" s="68"/>
      <c r="F60" s="69"/>
      <c r="G60" s="80"/>
      <c r="H60" s="80"/>
      <c r="I60" s="80">
        <f>557.45*1.1*1.1</f>
        <v>674.5145000000001</v>
      </c>
      <c r="J60" s="19">
        <f t="shared" si="8"/>
        <v>795.9271100000001</v>
      </c>
      <c r="K60" s="60"/>
      <c r="L60" s="61"/>
      <c r="M60" s="97"/>
      <c r="N60">
        <f t="shared" si="7"/>
        <v>192.7184285714286</v>
      </c>
    </row>
    <row r="61" spans="1:14" s="111" customFormat="1" ht="25.5">
      <c r="A61" s="361"/>
      <c r="B61" s="349" t="s">
        <v>3055</v>
      </c>
      <c r="C61" s="204">
        <v>3.8</v>
      </c>
      <c r="D61" s="27"/>
      <c r="E61" s="68"/>
      <c r="F61" s="69"/>
      <c r="G61" s="80"/>
      <c r="H61" s="80"/>
      <c r="I61" s="80">
        <f>605.23*1.1*1.1</f>
        <v>732.3283000000001</v>
      </c>
      <c r="J61" s="19">
        <f t="shared" si="8"/>
        <v>864.1473940000001</v>
      </c>
      <c r="K61" s="60"/>
      <c r="L61" s="61"/>
      <c r="M61" s="97"/>
      <c r="N61">
        <f t="shared" si="7"/>
        <v>192.71797368421056</v>
      </c>
    </row>
    <row r="62" spans="1:14" ht="25.5">
      <c r="A62" s="361"/>
      <c r="B62" s="349" t="s">
        <v>3056</v>
      </c>
      <c r="C62" s="204">
        <v>4.1</v>
      </c>
      <c r="D62" s="27"/>
      <c r="E62" s="68"/>
      <c r="F62" s="69"/>
      <c r="G62" s="80"/>
      <c r="H62" s="80"/>
      <c r="I62" s="80">
        <f>653.01*1.1*1.1</f>
        <v>790.1421000000001</v>
      </c>
      <c r="J62" s="19">
        <f t="shared" si="8"/>
        <v>932.3676780000001</v>
      </c>
      <c r="K62" s="60"/>
      <c r="L62" s="61"/>
      <c r="M62" s="97"/>
      <c r="N62">
        <f t="shared" si="7"/>
        <v>192.71758536585372</v>
      </c>
    </row>
    <row r="63" spans="1:14" ht="25.5">
      <c r="A63" s="361"/>
      <c r="B63" s="349" t="s">
        <v>3057</v>
      </c>
      <c r="C63" s="204">
        <v>4.4</v>
      </c>
      <c r="D63" s="27"/>
      <c r="E63" s="68"/>
      <c r="F63" s="69"/>
      <c r="G63" s="80"/>
      <c r="H63" s="80"/>
      <c r="I63" s="80">
        <f>700.79*1.1*1.1</f>
        <v>847.9559000000002</v>
      </c>
      <c r="J63" s="19">
        <f t="shared" si="8"/>
        <v>1000.5879620000002</v>
      </c>
      <c r="K63" s="60"/>
      <c r="L63" s="61"/>
      <c r="M63" s="97"/>
      <c r="N63">
        <f t="shared" si="7"/>
        <v>192.71725</v>
      </c>
    </row>
    <row r="64" spans="1:14" ht="25.5">
      <c r="A64" s="361"/>
      <c r="B64" s="349" t="s">
        <v>3058</v>
      </c>
      <c r="C64" s="204">
        <v>4.7</v>
      </c>
      <c r="D64" s="27"/>
      <c r="E64" s="68"/>
      <c r="F64" s="69"/>
      <c r="G64" s="80"/>
      <c r="H64" s="80"/>
      <c r="I64" s="80">
        <f>748.57*1.1*1.1</f>
        <v>905.7697000000002</v>
      </c>
      <c r="J64" s="19">
        <f t="shared" si="8"/>
        <v>1068.808246</v>
      </c>
      <c r="K64" s="60"/>
      <c r="L64" s="61"/>
      <c r="M64" s="97"/>
      <c r="N64">
        <f t="shared" si="7"/>
        <v>192.71695744680855</v>
      </c>
    </row>
    <row r="65" spans="1:14" ht="25.5">
      <c r="A65" s="361"/>
      <c r="B65" s="349" t="s">
        <v>3059</v>
      </c>
      <c r="C65" s="204">
        <v>5</v>
      </c>
      <c r="D65" s="27"/>
      <c r="E65" s="68"/>
      <c r="F65" s="69"/>
      <c r="G65" s="80"/>
      <c r="H65" s="80"/>
      <c r="I65" s="80">
        <f>796.35*1.1*1.1</f>
        <v>963.5835000000002</v>
      </c>
      <c r="J65" s="19">
        <f t="shared" si="8"/>
        <v>1137.02853</v>
      </c>
      <c r="K65" s="60"/>
      <c r="L65" s="61"/>
      <c r="M65" s="97"/>
      <c r="N65">
        <f t="shared" si="7"/>
        <v>192.71670000000003</v>
      </c>
    </row>
    <row r="66" spans="1:14" ht="25.5">
      <c r="A66" s="361"/>
      <c r="B66" s="349" t="s">
        <v>3060</v>
      </c>
      <c r="C66" s="204">
        <v>5.3</v>
      </c>
      <c r="D66" s="27"/>
      <c r="E66" s="68">
        <f>C66*97.36*1.101</f>
        <v>568.1248079999999</v>
      </c>
      <c r="F66" s="69">
        <f>E66*1.18</f>
        <v>670.3872734399998</v>
      </c>
      <c r="G66" s="80">
        <v>844.14</v>
      </c>
      <c r="H66" s="80">
        <f>G66*1.18</f>
        <v>996.0852</v>
      </c>
      <c r="I66" s="80">
        <f>844.14*1.1*1.1</f>
        <v>1021.4094000000002</v>
      </c>
      <c r="J66" s="19">
        <f t="shared" si="8"/>
        <v>1205.2630920000001</v>
      </c>
      <c r="K66" s="60"/>
      <c r="L66" s="61"/>
      <c r="M66" s="97"/>
      <c r="N66">
        <f t="shared" si="7"/>
        <v>192.71875471698118</v>
      </c>
    </row>
    <row r="67" spans="1:14" s="111" customFormat="1" ht="25.5">
      <c r="A67" s="361"/>
      <c r="B67" s="349" t="s">
        <v>3061</v>
      </c>
      <c r="C67" s="204">
        <v>5.6</v>
      </c>
      <c r="D67" s="27"/>
      <c r="E67" s="68">
        <f>C67*97.36*1.101</f>
        <v>600.282816</v>
      </c>
      <c r="F67" s="69">
        <f>E67*1.18</f>
        <v>708.33372288</v>
      </c>
      <c r="G67" s="80">
        <v>891.92</v>
      </c>
      <c r="H67" s="80">
        <f>G67*1.18</f>
        <v>1052.4656</v>
      </c>
      <c r="I67" s="80">
        <f>891.92*1.1*1.1</f>
        <v>1079.2232000000001</v>
      </c>
      <c r="J67" s="19">
        <f t="shared" si="8"/>
        <v>1273.4833760000001</v>
      </c>
      <c r="K67" s="60"/>
      <c r="L67" s="61"/>
      <c r="M67" s="97"/>
      <c r="N67">
        <f t="shared" si="7"/>
        <v>192.7184285714286</v>
      </c>
    </row>
    <row r="68" spans="1:14" ht="25.5">
      <c r="A68" s="673" t="s">
        <v>3062</v>
      </c>
      <c r="B68" s="499" t="s">
        <v>3063</v>
      </c>
      <c r="C68" s="204">
        <v>1.2</v>
      </c>
      <c r="D68" s="39" t="s">
        <v>1963</v>
      </c>
      <c r="E68" s="68">
        <f>C68*97.36*1.101</f>
        <v>128.63203199999998</v>
      </c>
      <c r="F68" s="69">
        <f>E68*1.18</f>
        <v>151.78579775999998</v>
      </c>
      <c r="G68" s="80">
        <f>E68*1.15*1.15</f>
        <v>170.11586231999993</v>
      </c>
      <c r="H68" s="674">
        <f>G68*1.18</f>
        <v>200.7367175375999</v>
      </c>
      <c r="I68" s="80">
        <f>G68*1.2*1.05*1.07*1.1*1.1</f>
        <v>277.513748751587</v>
      </c>
      <c r="J68" s="76">
        <f>I68*1.18</f>
        <v>327.4662235268726</v>
      </c>
      <c r="K68" s="60"/>
      <c r="L68" s="61"/>
      <c r="M68" s="97"/>
      <c r="N68">
        <f t="shared" si="7"/>
        <v>231.26145729298918</v>
      </c>
    </row>
    <row r="69" spans="1:14" ht="12.75">
      <c r="A69" s="501" t="s">
        <v>1146</v>
      </c>
      <c r="B69" s="949" t="s">
        <v>1952</v>
      </c>
      <c r="C69" s="949"/>
      <c r="D69" s="949"/>
      <c r="E69" s="949"/>
      <c r="F69" s="949"/>
      <c r="G69" s="949"/>
      <c r="H69" s="949"/>
      <c r="I69" s="949"/>
      <c r="J69" s="949"/>
      <c r="K69" s="475"/>
      <c r="L69" s="475"/>
      <c r="M69" s="475"/>
      <c r="N69" t="e">
        <f t="shared" si="7"/>
        <v>#DIV/0!</v>
      </c>
    </row>
    <row r="70" spans="1:14" ht="12.75">
      <c r="A70" s="498" t="s">
        <v>2427</v>
      </c>
      <c r="B70" s="499" t="s">
        <v>2531</v>
      </c>
      <c r="C70" s="74">
        <v>1</v>
      </c>
      <c r="D70" s="38">
        <v>149.17</v>
      </c>
      <c r="E70" s="57">
        <f t="shared" si="4"/>
        <v>107.19336</v>
      </c>
      <c r="F70" s="32">
        <f t="shared" si="0"/>
        <v>126.48816479999999</v>
      </c>
      <c r="G70" s="80">
        <f t="shared" si="5"/>
        <v>141.76321859999996</v>
      </c>
      <c r="H70" s="19">
        <f aca="true" t="shared" si="11" ref="H70:H77">G70*1.18</f>
        <v>167.28059794799995</v>
      </c>
      <c r="I70" s="80">
        <f aca="true" t="shared" si="12" ref="I70:I76">G70*1.2*1.05*1.07*1.1*1.1</f>
        <v>231.26145729298918</v>
      </c>
      <c r="J70" s="19">
        <f aca="true" t="shared" si="13" ref="J70:J76">I70*1.18</f>
        <v>272.8885196057272</v>
      </c>
      <c r="K70" s="94">
        <f t="shared" si="6"/>
        <v>1.6313220000000004</v>
      </c>
      <c r="N70">
        <f t="shared" si="7"/>
        <v>231.26145729298918</v>
      </c>
    </row>
    <row r="71" spans="1:14" ht="12.75">
      <c r="A71" s="498" t="s">
        <v>2428</v>
      </c>
      <c r="B71" s="499" t="s">
        <v>1548</v>
      </c>
      <c r="C71" s="74">
        <v>0.5</v>
      </c>
      <c r="D71" s="38">
        <v>99.45</v>
      </c>
      <c r="E71" s="57">
        <f t="shared" si="4"/>
        <v>53.59668</v>
      </c>
      <c r="F71" s="32">
        <f t="shared" si="0"/>
        <v>63.244082399999996</v>
      </c>
      <c r="G71" s="80">
        <f t="shared" si="5"/>
        <v>70.88160929999998</v>
      </c>
      <c r="H71" s="19">
        <f t="shared" si="11"/>
        <v>83.64029897399998</v>
      </c>
      <c r="I71" s="80">
        <f t="shared" si="12"/>
        <v>115.63072864649459</v>
      </c>
      <c r="J71" s="19">
        <f t="shared" si="13"/>
        <v>136.4442598028636</v>
      </c>
      <c r="K71" s="94">
        <f t="shared" si="6"/>
        <v>1.6313220000000004</v>
      </c>
      <c r="N71">
        <f t="shared" si="7"/>
        <v>231.26145729298918</v>
      </c>
    </row>
    <row r="72" spans="1:14" ht="12.75">
      <c r="A72" s="498" t="s">
        <v>2429</v>
      </c>
      <c r="B72" s="499" t="s">
        <v>2532</v>
      </c>
      <c r="C72" s="74">
        <v>0.5</v>
      </c>
      <c r="D72" s="38">
        <v>49.73</v>
      </c>
      <c r="E72" s="57">
        <f t="shared" si="4"/>
        <v>53.59668</v>
      </c>
      <c r="F72" s="32">
        <f t="shared" si="0"/>
        <v>63.244082399999996</v>
      </c>
      <c r="G72" s="80">
        <f t="shared" si="5"/>
        <v>70.88160929999998</v>
      </c>
      <c r="H72" s="19">
        <f t="shared" si="11"/>
        <v>83.64029897399998</v>
      </c>
      <c r="I72" s="80">
        <f t="shared" si="12"/>
        <v>115.63072864649459</v>
      </c>
      <c r="J72" s="19">
        <f t="shared" si="13"/>
        <v>136.4442598028636</v>
      </c>
      <c r="K72" s="94">
        <f t="shared" si="6"/>
        <v>1.6313220000000004</v>
      </c>
      <c r="N72">
        <f t="shared" si="7"/>
        <v>231.26145729298918</v>
      </c>
    </row>
    <row r="73" spans="1:14" ht="12.75">
      <c r="A73" s="498" t="s">
        <v>2430</v>
      </c>
      <c r="B73" s="499" t="s">
        <v>2533</v>
      </c>
      <c r="C73" s="74">
        <v>2.5</v>
      </c>
      <c r="D73" s="38">
        <v>49.73</v>
      </c>
      <c r="E73" s="57">
        <f t="shared" si="4"/>
        <v>267.9834</v>
      </c>
      <c r="F73" s="32">
        <f t="shared" si="0"/>
        <v>316.220412</v>
      </c>
      <c r="G73" s="80">
        <f t="shared" si="5"/>
        <v>354.40804649999995</v>
      </c>
      <c r="H73" s="19">
        <f t="shared" si="11"/>
        <v>418.2014948699999</v>
      </c>
      <c r="I73" s="80">
        <f t="shared" si="12"/>
        <v>578.1536432324731</v>
      </c>
      <c r="J73" s="19">
        <f t="shared" si="13"/>
        <v>682.2212990143182</v>
      </c>
      <c r="K73" s="94">
        <f t="shared" si="6"/>
        <v>1.6313220000000004</v>
      </c>
      <c r="N73">
        <f t="shared" si="7"/>
        <v>231.26145729298923</v>
      </c>
    </row>
    <row r="74" spans="1:14" ht="12.75">
      <c r="A74" s="498" t="s">
        <v>2431</v>
      </c>
      <c r="B74" s="499" t="s">
        <v>2534</v>
      </c>
      <c r="C74" s="74">
        <v>2.5</v>
      </c>
      <c r="D74" s="38">
        <v>248.63</v>
      </c>
      <c r="E74" s="57">
        <f t="shared" si="4"/>
        <v>267.9834</v>
      </c>
      <c r="F74" s="32">
        <f t="shared" si="0"/>
        <v>316.220412</v>
      </c>
      <c r="G74" s="80">
        <f t="shared" si="5"/>
        <v>354.40804649999995</v>
      </c>
      <c r="H74" s="19">
        <f t="shared" si="11"/>
        <v>418.2014948699999</v>
      </c>
      <c r="I74" s="80">
        <f t="shared" si="12"/>
        <v>578.1536432324731</v>
      </c>
      <c r="J74" s="19">
        <f t="shared" si="13"/>
        <v>682.2212990143182</v>
      </c>
      <c r="K74" s="94">
        <f t="shared" si="6"/>
        <v>1.6313220000000004</v>
      </c>
      <c r="N74">
        <f t="shared" si="7"/>
        <v>231.26145729298923</v>
      </c>
    </row>
    <row r="75" spans="1:14" ht="12.75">
      <c r="A75" s="498" t="s">
        <v>2432</v>
      </c>
      <c r="B75" s="499" t="s">
        <v>2535</v>
      </c>
      <c r="C75" s="74">
        <v>3</v>
      </c>
      <c r="D75" s="38" t="s">
        <v>2536</v>
      </c>
      <c r="E75" s="57">
        <f t="shared" si="4"/>
        <v>321.58007999999995</v>
      </c>
      <c r="F75" s="32">
        <f t="shared" si="0"/>
        <v>379.4644943999999</v>
      </c>
      <c r="G75" s="80">
        <f t="shared" si="5"/>
        <v>425.2896557999998</v>
      </c>
      <c r="H75" s="19">
        <f t="shared" si="11"/>
        <v>501.84179384399977</v>
      </c>
      <c r="I75" s="80">
        <f t="shared" si="12"/>
        <v>693.7843718789675</v>
      </c>
      <c r="J75" s="19">
        <f t="shared" si="13"/>
        <v>818.6655588171816</v>
      </c>
      <c r="K75" s="94">
        <f t="shared" si="6"/>
        <v>1.6313220000000004</v>
      </c>
      <c r="N75">
        <f t="shared" si="7"/>
        <v>231.26145729298915</v>
      </c>
    </row>
    <row r="76" spans="1:14" s="111" customFormat="1" ht="12.75">
      <c r="A76" s="498" t="s">
        <v>2433</v>
      </c>
      <c r="B76" s="499" t="s">
        <v>2537</v>
      </c>
      <c r="C76" s="74">
        <v>0.5</v>
      </c>
      <c r="D76" s="38">
        <v>49.73</v>
      </c>
      <c r="E76" s="57">
        <f t="shared" si="4"/>
        <v>53.59668</v>
      </c>
      <c r="F76" s="32">
        <f t="shared" si="0"/>
        <v>63.244082399999996</v>
      </c>
      <c r="G76" s="80">
        <f t="shared" si="5"/>
        <v>70.88160929999998</v>
      </c>
      <c r="H76" s="19">
        <f t="shared" si="11"/>
        <v>83.64029897399998</v>
      </c>
      <c r="I76" s="80">
        <f t="shared" si="12"/>
        <v>115.63072864649459</v>
      </c>
      <c r="J76" s="19">
        <f t="shared" si="13"/>
        <v>136.4442598028636</v>
      </c>
      <c r="K76" s="94">
        <f t="shared" si="6"/>
        <v>1.6313220000000004</v>
      </c>
      <c r="L76"/>
      <c r="M76"/>
      <c r="N76">
        <f t="shared" si="7"/>
        <v>231.26145729298918</v>
      </c>
    </row>
    <row r="77" spans="1:14" ht="25.5">
      <c r="A77" s="498" t="s">
        <v>2434</v>
      </c>
      <c r="B77" s="499" t="s">
        <v>706</v>
      </c>
      <c r="C77" s="74">
        <v>3.5</v>
      </c>
      <c r="D77" s="38">
        <v>546.97</v>
      </c>
      <c r="E77" s="57">
        <f t="shared" si="4"/>
        <v>375.17676</v>
      </c>
      <c r="F77" s="32">
        <f t="shared" si="0"/>
        <v>442.7085768</v>
      </c>
      <c r="G77" s="80">
        <f t="shared" si="5"/>
        <v>496.1712650999999</v>
      </c>
      <c r="H77" s="19">
        <f t="shared" si="11"/>
        <v>585.4820928179998</v>
      </c>
      <c r="I77" s="26">
        <f>735.83*1.1</f>
        <v>809.4130000000001</v>
      </c>
      <c r="J77" s="19">
        <f>I77*1.18</f>
        <v>955.1073400000001</v>
      </c>
      <c r="K77" s="94">
        <f t="shared" si="6"/>
        <v>1.6313177665314182</v>
      </c>
      <c r="N77">
        <f t="shared" si="7"/>
        <v>231.2608571428572</v>
      </c>
    </row>
    <row r="78" spans="1:14" ht="38.25">
      <c r="A78" s="481" t="s">
        <v>3064</v>
      </c>
      <c r="B78" s="482" t="s">
        <v>3037</v>
      </c>
      <c r="C78" s="207">
        <v>3.5</v>
      </c>
      <c r="D78" s="19">
        <v>669.95</v>
      </c>
      <c r="E78" s="19">
        <v>789.36</v>
      </c>
      <c r="F78" s="32"/>
      <c r="G78" s="19"/>
      <c r="H78" s="19"/>
      <c r="I78" s="502">
        <f>735.83*1.1</f>
        <v>809.4130000000001</v>
      </c>
      <c r="J78" s="19">
        <f>I78*1.18</f>
        <v>955.1073400000001</v>
      </c>
      <c r="K78" s="94"/>
      <c r="N78">
        <f t="shared" si="7"/>
        <v>231.2608571428572</v>
      </c>
    </row>
    <row r="79" spans="1:14" ht="12.75">
      <c r="A79" s="483" t="s">
        <v>1147</v>
      </c>
      <c r="B79" s="945" t="s">
        <v>1812</v>
      </c>
      <c r="C79" s="945"/>
      <c r="D79" s="945"/>
      <c r="E79" s="945"/>
      <c r="F79" s="945"/>
      <c r="G79" s="945"/>
      <c r="H79" s="945"/>
      <c r="I79" s="945"/>
      <c r="J79" s="945"/>
      <c r="K79" s="111"/>
      <c r="L79" s="111"/>
      <c r="M79" s="111"/>
      <c r="N79" t="e">
        <f t="shared" si="7"/>
        <v>#DIV/0!</v>
      </c>
    </row>
    <row r="80" spans="1:14" ht="12.75">
      <c r="A80" s="498" t="s">
        <v>2435</v>
      </c>
      <c r="B80" s="499" t="s">
        <v>2531</v>
      </c>
      <c r="C80" s="74">
        <v>1</v>
      </c>
      <c r="D80" s="38">
        <v>149.17</v>
      </c>
      <c r="E80" s="57">
        <f t="shared" si="4"/>
        <v>107.19336</v>
      </c>
      <c r="F80" s="32">
        <f>E80*1.18</f>
        <v>126.48816479999999</v>
      </c>
      <c r="G80" s="80">
        <f t="shared" si="5"/>
        <v>141.76321859999996</v>
      </c>
      <c r="H80" s="19">
        <f>G80*1.18</f>
        <v>167.28059794799995</v>
      </c>
      <c r="I80" s="80">
        <f>G80*1.2*1.05*1.07*1.1*1.1</f>
        <v>231.26145729298918</v>
      </c>
      <c r="J80" s="19">
        <f>I80*1.18</f>
        <v>272.8885196057272</v>
      </c>
      <c r="K80" s="94">
        <f t="shared" si="6"/>
        <v>1.6313220000000004</v>
      </c>
      <c r="N80">
        <f t="shared" si="7"/>
        <v>231.26145729298918</v>
      </c>
    </row>
    <row r="81" spans="1:14" ht="12.75">
      <c r="A81" s="498" t="s">
        <v>2436</v>
      </c>
      <c r="B81" s="499" t="s">
        <v>1548</v>
      </c>
      <c r="C81" s="74">
        <v>0.5</v>
      </c>
      <c r="D81" s="38">
        <v>99.45</v>
      </c>
      <c r="E81" s="57">
        <f t="shared" si="4"/>
        <v>53.59668</v>
      </c>
      <c r="F81" s="32">
        <f>E81*1.18</f>
        <v>63.244082399999996</v>
      </c>
      <c r="G81" s="80">
        <f t="shared" si="5"/>
        <v>70.88160929999998</v>
      </c>
      <c r="H81" s="19">
        <f>G81*1.18</f>
        <v>83.64029897399998</v>
      </c>
      <c r="I81" s="80">
        <f>G81*1.2*1.05*1.07*1.1*1.1</f>
        <v>115.63072864649459</v>
      </c>
      <c r="J81" s="19">
        <f>I81*1.18</f>
        <v>136.4442598028636</v>
      </c>
      <c r="K81" s="94">
        <f t="shared" si="6"/>
        <v>1.6313220000000004</v>
      </c>
      <c r="N81">
        <f aca="true" t="shared" si="14" ref="N81:N144">I81/C81</f>
        <v>231.26145729298918</v>
      </c>
    </row>
    <row r="82" spans="1:14" ht="12.75">
      <c r="A82" s="498" t="s">
        <v>2437</v>
      </c>
      <c r="B82" s="499" t="s">
        <v>2532</v>
      </c>
      <c r="C82" s="74">
        <v>0.5</v>
      </c>
      <c r="D82" s="38">
        <v>49.73</v>
      </c>
      <c r="E82" s="57">
        <f t="shared" si="4"/>
        <v>53.59668</v>
      </c>
      <c r="F82" s="32">
        <f>E82*1.18</f>
        <v>63.244082399999996</v>
      </c>
      <c r="G82" s="80">
        <f t="shared" si="5"/>
        <v>70.88160929999998</v>
      </c>
      <c r="H82" s="19">
        <f>G82*1.18</f>
        <v>83.64029897399998</v>
      </c>
      <c r="I82" s="80">
        <f>G82*1.2*1.05*1.07*1.1*1.1</f>
        <v>115.63072864649459</v>
      </c>
      <c r="J82" s="19">
        <f>I82*1.18</f>
        <v>136.4442598028636</v>
      </c>
      <c r="K82" s="94">
        <f t="shared" si="6"/>
        <v>1.6313220000000004</v>
      </c>
      <c r="N82">
        <f t="shared" si="14"/>
        <v>231.26145729298918</v>
      </c>
    </row>
    <row r="83" spans="1:14" ht="38.25">
      <c r="A83" s="481" t="s">
        <v>2438</v>
      </c>
      <c r="B83" s="482" t="s">
        <v>3037</v>
      </c>
      <c r="C83" s="207">
        <v>3.5</v>
      </c>
      <c r="D83" s="19">
        <v>669.95</v>
      </c>
      <c r="E83" s="19">
        <v>789.36</v>
      </c>
      <c r="F83" s="32"/>
      <c r="G83" s="19"/>
      <c r="H83" s="19"/>
      <c r="I83" s="502">
        <f>735.83*1.1</f>
        <v>809.4130000000001</v>
      </c>
      <c r="J83" s="19">
        <f>I83*1.18</f>
        <v>955.1073400000001</v>
      </c>
      <c r="K83" s="94"/>
      <c r="N83">
        <f t="shared" si="14"/>
        <v>231.2608571428572</v>
      </c>
    </row>
    <row r="84" spans="1:14" ht="25.5">
      <c r="A84" s="498" t="s">
        <v>2438</v>
      </c>
      <c r="B84" s="499" t="s">
        <v>706</v>
      </c>
      <c r="C84" s="74">
        <v>3.5</v>
      </c>
      <c r="D84" s="38">
        <v>546.97</v>
      </c>
      <c r="E84" s="57">
        <f t="shared" si="4"/>
        <v>375.17676</v>
      </c>
      <c r="F84" s="32">
        <f>E84*1.18</f>
        <v>442.7085768</v>
      </c>
      <c r="G84" s="80">
        <f t="shared" si="5"/>
        <v>496.1712650999999</v>
      </c>
      <c r="H84" s="19">
        <f>G84*1.18</f>
        <v>585.4820928179998</v>
      </c>
      <c r="I84" s="80">
        <f>735.83*1.1</f>
        <v>809.4130000000001</v>
      </c>
      <c r="J84" s="19">
        <f>I84*1.18</f>
        <v>955.1073400000001</v>
      </c>
      <c r="K84" s="94">
        <f t="shared" si="6"/>
        <v>1.6313177665314182</v>
      </c>
      <c r="N84">
        <f t="shared" si="14"/>
        <v>231.2608571428572</v>
      </c>
    </row>
    <row r="85" spans="1:14" ht="12.75">
      <c r="A85" s="483" t="s">
        <v>1148</v>
      </c>
      <c r="B85" s="945" t="s">
        <v>1813</v>
      </c>
      <c r="C85" s="945"/>
      <c r="D85" s="945"/>
      <c r="E85" s="945"/>
      <c r="F85" s="945"/>
      <c r="G85" s="945"/>
      <c r="H85" s="945"/>
      <c r="I85" s="945"/>
      <c r="J85" s="945"/>
      <c r="K85" s="111"/>
      <c r="L85" s="111"/>
      <c r="M85" s="111"/>
      <c r="N85" t="e">
        <f t="shared" si="14"/>
        <v>#DIV/0!</v>
      </c>
    </row>
    <row r="86" spans="1:14" ht="12.75">
      <c r="A86" s="498" t="s">
        <v>2439</v>
      </c>
      <c r="B86" s="499" t="s">
        <v>2531</v>
      </c>
      <c r="C86" s="74">
        <v>1</v>
      </c>
      <c r="D86" s="38">
        <v>149.17</v>
      </c>
      <c r="E86" s="57">
        <f t="shared" si="4"/>
        <v>107.19336</v>
      </c>
      <c r="F86" s="32">
        <f>E86*1.18</f>
        <v>126.48816479999999</v>
      </c>
      <c r="G86" s="80">
        <f t="shared" si="5"/>
        <v>141.76321859999996</v>
      </c>
      <c r="H86" s="19">
        <f>G86*1.18</f>
        <v>167.28059794799995</v>
      </c>
      <c r="I86" s="80">
        <f>G86*1.2*1.05*1.07*1.1*1.1</f>
        <v>231.26145729298918</v>
      </c>
      <c r="J86" s="19">
        <f aca="true" t="shared" si="15" ref="J86:J91">I86*1.18</f>
        <v>272.8885196057272</v>
      </c>
      <c r="K86" s="94">
        <f t="shared" si="6"/>
        <v>1.6313220000000004</v>
      </c>
      <c r="N86">
        <f t="shared" si="14"/>
        <v>231.26145729298918</v>
      </c>
    </row>
    <row r="87" spans="1:14" ht="12.75">
      <c r="A87" s="498" t="s">
        <v>2440</v>
      </c>
      <c r="B87" s="499" t="s">
        <v>1548</v>
      </c>
      <c r="C87" s="74">
        <v>0.5</v>
      </c>
      <c r="D87" s="38">
        <v>99.45</v>
      </c>
      <c r="E87" s="57">
        <f t="shared" si="4"/>
        <v>53.59668</v>
      </c>
      <c r="F87" s="32">
        <f>E87*1.18</f>
        <v>63.244082399999996</v>
      </c>
      <c r="G87" s="80">
        <f t="shared" si="5"/>
        <v>70.88160929999998</v>
      </c>
      <c r="H87" s="19">
        <f>G87*1.18</f>
        <v>83.64029897399998</v>
      </c>
      <c r="I87" s="80">
        <f>G87*1.2*1.05*1.07*1.1*1.1</f>
        <v>115.63072864649459</v>
      </c>
      <c r="J87" s="19">
        <f t="shared" si="15"/>
        <v>136.4442598028636</v>
      </c>
      <c r="K87" s="94">
        <f t="shared" si="6"/>
        <v>1.6313220000000004</v>
      </c>
      <c r="N87">
        <f t="shared" si="14"/>
        <v>231.26145729298918</v>
      </c>
    </row>
    <row r="88" spans="1:14" ht="12.75">
      <c r="A88" s="498" t="s">
        <v>2441</v>
      </c>
      <c r="B88" s="499" t="s">
        <v>2532</v>
      </c>
      <c r="C88" s="74">
        <v>0.5</v>
      </c>
      <c r="D88" s="38">
        <v>49.73</v>
      </c>
      <c r="E88" s="57">
        <f t="shared" si="4"/>
        <v>53.59668</v>
      </c>
      <c r="F88" s="32">
        <f>E88*1.18</f>
        <v>63.244082399999996</v>
      </c>
      <c r="G88" s="80">
        <f t="shared" si="5"/>
        <v>70.88160929999998</v>
      </c>
      <c r="H88" s="19">
        <f>G88*1.18</f>
        <v>83.64029897399998</v>
      </c>
      <c r="I88" s="80">
        <f>G88*1.2*1.05*1.07*1.1*1.1</f>
        <v>115.63072864649459</v>
      </c>
      <c r="J88" s="19">
        <f t="shared" si="15"/>
        <v>136.4442598028636</v>
      </c>
      <c r="K88" s="94">
        <f t="shared" si="6"/>
        <v>1.6313220000000004</v>
      </c>
      <c r="N88">
        <f t="shared" si="14"/>
        <v>231.26145729298918</v>
      </c>
    </row>
    <row r="89" spans="1:14" ht="12.75">
      <c r="A89" s="498" t="s">
        <v>2442</v>
      </c>
      <c r="B89" s="499" t="s">
        <v>2537</v>
      </c>
      <c r="C89" s="74">
        <v>0.5</v>
      </c>
      <c r="D89" s="38">
        <v>49.73</v>
      </c>
      <c r="E89" s="57">
        <f t="shared" si="4"/>
        <v>53.59668</v>
      </c>
      <c r="F89" s="32">
        <f>E89*1.18</f>
        <v>63.244082399999996</v>
      </c>
      <c r="G89" s="80">
        <f t="shared" si="5"/>
        <v>70.88160929999998</v>
      </c>
      <c r="H89" s="19">
        <f>G89*1.18</f>
        <v>83.64029897399998</v>
      </c>
      <c r="I89" s="80">
        <f>G89*1.2*1.05*1.07*1.1*1.1</f>
        <v>115.63072864649459</v>
      </c>
      <c r="J89" s="19">
        <f t="shared" si="15"/>
        <v>136.4442598028636</v>
      </c>
      <c r="K89" s="94">
        <f t="shared" si="6"/>
        <v>1.6313220000000004</v>
      </c>
      <c r="N89">
        <f t="shared" si="14"/>
        <v>231.26145729298918</v>
      </c>
    </row>
    <row r="90" spans="1:14" ht="25.5">
      <c r="A90" s="498" t="s">
        <v>2443</v>
      </c>
      <c r="B90" s="499" t="s">
        <v>706</v>
      </c>
      <c r="C90" s="74">
        <v>3.5</v>
      </c>
      <c r="D90" s="38" t="s">
        <v>1029</v>
      </c>
      <c r="E90" s="57">
        <f t="shared" si="4"/>
        <v>375.17676</v>
      </c>
      <c r="F90" s="32">
        <f>E90*1.18</f>
        <v>442.7085768</v>
      </c>
      <c r="G90" s="80">
        <f t="shared" si="5"/>
        <v>496.1712650999999</v>
      </c>
      <c r="H90" s="19">
        <f>G90*1.18</f>
        <v>585.4820928179998</v>
      </c>
      <c r="I90" s="80">
        <f>G90*1.2*1.05*1.07*1.1*1.1</f>
        <v>809.4151005254622</v>
      </c>
      <c r="J90" s="19">
        <f t="shared" si="15"/>
        <v>955.1098186200453</v>
      </c>
      <c r="K90" s="94">
        <f t="shared" si="6"/>
        <v>1.6313220000000004</v>
      </c>
      <c r="N90">
        <f t="shared" si="14"/>
        <v>231.2614572929892</v>
      </c>
    </row>
    <row r="91" spans="1:14" ht="38.25">
      <c r="A91" s="481" t="s">
        <v>3065</v>
      </c>
      <c r="B91" s="482" t="s">
        <v>3037</v>
      </c>
      <c r="C91" s="207">
        <v>3.5</v>
      </c>
      <c r="D91" s="19">
        <v>669.95</v>
      </c>
      <c r="E91" s="19">
        <v>789.36</v>
      </c>
      <c r="F91" s="32"/>
      <c r="G91" s="19"/>
      <c r="H91" s="19"/>
      <c r="I91" s="502">
        <f>668.94*1.1*1.1</f>
        <v>809.4174000000003</v>
      </c>
      <c r="J91" s="19">
        <f t="shared" si="15"/>
        <v>955.1125320000002</v>
      </c>
      <c r="K91" s="94"/>
      <c r="N91">
        <f t="shared" si="14"/>
        <v>231.26211428571438</v>
      </c>
    </row>
    <row r="92" spans="1:14" ht="12.75">
      <c r="A92" s="483" t="s">
        <v>1561</v>
      </c>
      <c r="B92" s="945" t="s">
        <v>1030</v>
      </c>
      <c r="C92" s="945"/>
      <c r="D92" s="945"/>
      <c r="E92" s="945"/>
      <c r="F92" s="945"/>
      <c r="G92" s="945"/>
      <c r="H92" s="945"/>
      <c r="I92" s="945"/>
      <c r="J92" s="945"/>
      <c r="K92" s="111"/>
      <c r="L92" s="111"/>
      <c r="M92" s="111"/>
      <c r="N92" t="e">
        <f t="shared" si="14"/>
        <v>#DIV/0!</v>
      </c>
    </row>
    <row r="93" spans="1:14" ht="12.75">
      <c r="A93" s="498" t="s">
        <v>968</v>
      </c>
      <c r="B93" s="499" t="s">
        <v>2531</v>
      </c>
      <c r="C93" s="74">
        <v>1</v>
      </c>
      <c r="D93" s="38">
        <v>149.17</v>
      </c>
      <c r="E93" s="57">
        <f t="shared" si="4"/>
        <v>107.19336</v>
      </c>
      <c r="F93" s="32">
        <f aca="true" t="shared" si="16" ref="F93:F100">E93*1.18</f>
        <v>126.48816479999999</v>
      </c>
      <c r="G93" s="80">
        <f t="shared" si="5"/>
        <v>141.76321859999996</v>
      </c>
      <c r="H93" s="19">
        <f aca="true" t="shared" si="17" ref="H93:H100">G93*1.18</f>
        <v>167.28059794799995</v>
      </c>
      <c r="I93" s="80">
        <f aca="true" t="shared" si="18" ref="I93:I100">G93*1.2*1.05*1.07*1.1*1.1</f>
        <v>231.26145729298918</v>
      </c>
      <c r="J93" s="19">
        <f aca="true" t="shared" si="19" ref="J93:J101">I93*1.18</f>
        <v>272.8885196057272</v>
      </c>
      <c r="K93" s="94">
        <f t="shared" si="6"/>
        <v>1.6313220000000004</v>
      </c>
      <c r="N93">
        <f t="shared" si="14"/>
        <v>231.26145729298918</v>
      </c>
    </row>
    <row r="94" spans="1:14" s="111" customFormat="1" ht="12.75">
      <c r="A94" s="498" t="s">
        <v>969</v>
      </c>
      <c r="B94" s="499" t="s">
        <v>1548</v>
      </c>
      <c r="C94" s="74">
        <v>0.5</v>
      </c>
      <c r="D94" s="38">
        <v>99.4</v>
      </c>
      <c r="E94" s="57">
        <f t="shared" si="4"/>
        <v>53.59668</v>
      </c>
      <c r="F94" s="32">
        <f t="shared" si="16"/>
        <v>63.244082399999996</v>
      </c>
      <c r="G94" s="80">
        <f t="shared" si="5"/>
        <v>70.88160929999998</v>
      </c>
      <c r="H94" s="19">
        <f t="shared" si="17"/>
        <v>83.64029897399998</v>
      </c>
      <c r="I94" s="80">
        <f t="shared" si="18"/>
        <v>115.63072864649459</v>
      </c>
      <c r="J94" s="19">
        <f t="shared" si="19"/>
        <v>136.4442598028636</v>
      </c>
      <c r="K94" s="94">
        <f t="shared" si="6"/>
        <v>1.6313220000000004</v>
      </c>
      <c r="L94"/>
      <c r="M94"/>
      <c r="N94">
        <f t="shared" si="14"/>
        <v>231.26145729298918</v>
      </c>
    </row>
    <row r="95" spans="1:14" ht="12.75">
      <c r="A95" s="503" t="s">
        <v>970</v>
      </c>
      <c r="B95" s="504" t="s">
        <v>2532</v>
      </c>
      <c r="C95" s="74">
        <v>0.5</v>
      </c>
      <c r="D95" s="38">
        <v>49.73</v>
      </c>
      <c r="E95" s="57">
        <f t="shared" si="4"/>
        <v>53.59668</v>
      </c>
      <c r="F95" s="32">
        <f t="shared" si="16"/>
        <v>63.244082399999996</v>
      </c>
      <c r="G95" s="80">
        <f t="shared" si="5"/>
        <v>70.88160929999998</v>
      </c>
      <c r="H95" s="19">
        <f t="shared" si="17"/>
        <v>83.64029897399998</v>
      </c>
      <c r="I95" s="80">
        <f t="shared" si="18"/>
        <v>115.63072864649459</v>
      </c>
      <c r="J95" s="19">
        <f t="shared" si="19"/>
        <v>136.4442598028636</v>
      </c>
      <c r="K95" s="94">
        <f t="shared" si="6"/>
        <v>1.6313220000000004</v>
      </c>
      <c r="N95">
        <f t="shared" si="14"/>
        <v>231.26145729298918</v>
      </c>
    </row>
    <row r="96" spans="1:14" ht="12.75">
      <c r="A96" s="498" t="s">
        <v>971</v>
      </c>
      <c r="B96" s="499" t="s">
        <v>1031</v>
      </c>
      <c r="C96" s="74">
        <v>2.5</v>
      </c>
      <c r="D96" s="38">
        <v>248.63</v>
      </c>
      <c r="E96" s="57">
        <f t="shared" si="4"/>
        <v>267.9834</v>
      </c>
      <c r="F96" s="32">
        <f t="shared" si="16"/>
        <v>316.220412</v>
      </c>
      <c r="G96" s="80">
        <f t="shared" si="5"/>
        <v>354.40804649999995</v>
      </c>
      <c r="H96" s="19">
        <f t="shared" si="17"/>
        <v>418.2014948699999</v>
      </c>
      <c r="I96" s="80">
        <f t="shared" si="18"/>
        <v>578.1536432324731</v>
      </c>
      <c r="J96" s="19">
        <f t="shared" si="19"/>
        <v>682.2212990143182</v>
      </c>
      <c r="K96" s="94">
        <f t="shared" si="6"/>
        <v>1.6313220000000004</v>
      </c>
      <c r="N96">
        <f t="shared" si="14"/>
        <v>231.26145729298923</v>
      </c>
    </row>
    <row r="97" spans="1:14" ht="12.75">
      <c r="A97" s="498" t="s">
        <v>972</v>
      </c>
      <c r="B97" s="499" t="s">
        <v>798</v>
      </c>
      <c r="C97" s="74">
        <v>3</v>
      </c>
      <c r="D97" s="38">
        <v>298.35</v>
      </c>
      <c r="E97" s="57">
        <f t="shared" si="4"/>
        <v>321.58007999999995</v>
      </c>
      <c r="F97" s="32">
        <f t="shared" si="16"/>
        <v>379.4644943999999</v>
      </c>
      <c r="G97" s="80">
        <f t="shared" si="5"/>
        <v>425.2896557999998</v>
      </c>
      <c r="H97" s="19">
        <f t="shared" si="17"/>
        <v>501.84179384399977</v>
      </c>
      <c r="I97" s="80">
        <f t="shared" si="18"/>
        <v>693.7843718789675</v>
      </c>
      <c r="J97" s="19">
        <f t="shared" si="19"/>
        <v>818.6655588171816</v>
      </c>
      <c r="K97" s="94">
        <f t="shared" si="6"/>
        <v>1.6313220000000004</v>
      </c>
      <c r="N97">
        <f t="shared" si="14"/>
        <v>231.26145729298915</v>
      </c>
    </row>
    <row r="98" spans="1:14" ht="12.75">
      <c r="A98" s="498" t="s">
        <v>973</v>
      </c>
      <c r="B98" s="499" t="s">
        <v>1032</v>
      </c>
      <c r="C98" s="74">
        <v>3</v>
      </c>
      <c r="D98" s="38">
        <v>298.35</v>
      </c>
      <c r="E98" s="57">
        <f t="shared" si="4"/>
        <v>321.58007999999995</v>
      </c>
      <c r="F98" s="32">
        <f t="shared" si="16"/>
        <v>379.4644943999999</v>
      </c>
      <c r="G98" s="80">
        <f t="shared" si="5"/>
        <v>425.2896557999998</v>
      </c>
      <c r="H98" s="19">
        <f t="shared" si="17"/>
        <v>501.84179384399977</v>
      </c>
      <c r="I98" s="80">
        <f t="shared" si="18"/>
        <v>693.7843718789675</v>
      </c>
      <c r="J98" s="19">
        <f t="shared" si="19"/>
        <v>818.6655588171816</v>
      </c>
      <c r="K98" s="94">
        <f t="shared" si="6"/>
        <v>1.6313220000000004</v>
      </c>
      <c r="N98">
        <f t="shared" si="14"/>
        <v>231.26145729298915</v>
      </c>
    </row>
    <row r="99" spans="1:14" ht="12.75">
      <c r="A99" s="498" t="s">
        <v>974</v>
      </c>
      <c r="B99" s="499" t="s">
        <v>1033</v>
      </c>
      <c r="C99" s="74">
        <v>0.5</v>
      </c>
      <c r="D99" s="38">
        <v>49.73</v>
      </c>
      <c r="E99" s="57">
        <f t="shared" si="4"/>
        <v>53.59668</v>
      </c>
      <c r="F99" s="32">
        <f t="shared" si="16"/>
        <v>63.244082399999996</v>
      </c>
      <c r="G99" s="80">
        <f t="shared" si="5"/>
        <v>70.88160929999998</v>
      </c>
      <c r="H99" s="19">
        <f t="shared" si="17"/>
        <v>83.64029897399998</v>
      </c>
      <c r="I99" s="80">
        <f t="shared" si="18"/>
        <v>115.63072864649459</v>
      </c>
      <c r="J99" s="19">
        <f>I99*1.18</f>
        <v>136.4442598028636</v>
      </c>
      <c r="K99" s="94">
        <f t="shared" si="6"/>
        <v>1.6313220000000004</v>
      </c>
      <c r="N99">
        <f t="shared" si="14"/>
        <v>231.26145729298918</v>
      </c>
    </row>
    <row r="100" spans="1:14" ht="25.5">
      <c r="A100" s="498" t="s">
        <v>975</v>
      </c>
      <c r="B100" s="499" t="s">
        <v>706</v>
      </c>
      <c r="C100" s="74">
        <v>3.5</v>
      </c>
      <c r="D100" s="38">
        <v>546.97</v>
      </c>
      <c r="E100" s="57">
        <f t="shared" si="4"/>
        <v>375.17676</v>
      </c>
      <c r="F100" s="32">
        <f t="shared" si="16"/>
        <v>442.7085768</v>
      </c>
      <c r="G100" s="80">
        <f t="shared" si="5"/>
        <v>496.1712650999999</v>
      </c>
      <c r="H100" s="19">
        <f t="shared" si="17"/>
        <v>585.4820928179998</v>
      </c>
      <c r="I100" s="80">
        <f t="shared" si="18"/>
        <v>809.4151005254622</v>
      </c>
      <c r="J100" s="19">
        <f t="shared" si="19"/>
        <v>955.1098186200453</v>
      </c>
      <c r="K100" s="94">
        <f t="shared" si="6"/>
        <v>1.6313220000000004</v>
      </c>
      <c r="N100">
        <f t="shared" si="14"/>
        <v>231.2614572929892</v>
      </c>
    </row>
    <row r="101" spans="1:14" ht="38.25">
      <c r="A101" s="481" t="s">
        <v>3066</v>
      </c>
      <c r="B101" s="482" t="s">
        <v>3037</v>
      </c>
      <c r="C101" s="207">
        <v>3.5</v>
      </c>
      <c r="D101" s="19">
        <v>669.95</v>
      </c>
      <c r="E101" s="19">
        <v>789.36</v>
      </c>
      <c r="F101" s="32"/>
      <c r="G101" s="19"/>
      <c r="H101" s="19"/>
      <c r="I101" s="502">
        <f>735.83*1.1</f>
        <v>809.4130000000001</v>
      </c>
      <c r="J101" s="19">
        <f t="shared" si="19"/>
        <v>955.1073400000001</v>
      </c>
      <c r="K101" s="94"/>
      <c r="N101">
        <f t="shared" si="14"/>
        <v>231.2608571428572</v>
      </c>
    </row>
    <row r="102" spans="1:14" ht="12.75">
      <c r="A102" s="483" t="s">
        <v>1562</v>
      </c>
      <c r="B102" s="945" t="s">
        <v>1034</v>
      </c>
      <c r="C102" s="945"/>
      <c r="D102" s="945"/>
      <c r="E102" s="945"/>
      <c r="F102" s="945"/>
      <c r="G102" s="945"/>
      <c r="H102" s="945"/>
      <c r="I102" s="945"/>
      <c r="J102" s="945"/>
      <c r="K102" s="111"/>
      <c r="L102" s="111"/>
      <c r="M102" s="111"/>
      <c r="N102" t="e">
        <f t="shared" si="14"/>
        <v>#DIV/0!</v>
      </c>
    </row>
    <row r="103" spans="1:14" s="111" customFormat="1" ht="12.75">
      <c r="A103" s="498" t="s">
        <v>976</v>
      </c>
      <c r="B103" s="499" t="s">
        <v>2531</v>
      </c>
      <c r="C103" s="74">
        <v>1</v>
      </c>
      <c r="D103" s="38">
        <v>149.17</v>
      </c>
      <c r="E103" s="57">
        <f t="shared" si="4"/>
        <v>107.19336</v>
      </c>
      <c r="F103" s="32">
        <f aca="true" t="shared" si="20" ref="F103:F109">E103*1.18</f>
        <v>126.48816479999999</v>
      </c>
      <c r="G103" s="80">
        <f t="shared" si="5"/>
        <v>141.76321859999996</v>
      </c>
      <c r="H103" s="19">
        <f aca="true" t="shared" si="21" ref="H103:H109">G103*1.18</f>
        <v>167.28059794799995</v>
      </c>
      <c r="I103" s="80">
        <f aca="true" t="shared" si="22" ref="I103:I109">G103*1.2*1.05*1.07*1.1*1.1</f>
        <v>231.26145729298918</v>
      </c>
      <c r="J103" s="19">
        <f aca="true" t="shared" si="23" ref="J103:J109">I103*1.18</f>
        <v>272.8885196057272</v>
      </c>
      <c r="K103" s="94">
        <f t="shared" si="6"/>
        <v>1.6313220000000004</v>
      </c>
      <c r="L103"/>
      <c r="M103"/>
      <c r="N103">
        <f t="shared" si="14"/>
        <v>231.26145729298918</v>
      </c>
    </row>
    <row r="104" spans="1:14" ht="12.75">
      <c r="A104" s="498" t="s">
        <v>977</v>
      </c>
      <c r="B104" s="499" t="s">
        <v>1548</v>
      </c>
      <c r="C104" s="74">
        <v>0.5</v>
      </c>
      <c r="D104" s="38">
        <v>99.45</v>
      </c>
      <c r="E104" s="57">
        <f t="shared" si="4"/>
        <v>53.59668</v>
      </c>
      <c r="F104" s="32">
        <f t="shared" si="20"/>
        <v>63.244082399999996</v>
      </c>
      <c r="G104" s="80">
        <f t="shared" si="5"/>
        <v>70.88160929999998</v>
      </c>
      <c r="H104" s="19">
        <f t="shared" si="21"/>
        <v>83.64029897399998</v>
      </c>
      <c r="I104" s="80">
        <f t="shared" si="22"/>
        <v>115.63072864649459</v>
      </c>
      <c r="J104" s="19">
        <f t="shared" si="23"/>
        <v>136.4442598028636</v>
      </c>
      <c r="K104" s="94">
        <f t="shared" si="6"/>
        <v>1.6313220000000004</v>
      </c>
      <c r="N104">
        <f t="shared" si="14"/>
        <v>231.26145729298918</v>
      </c>
    </row>
    <row r="105" spans="1:14" ht="12.75">
      <c r="A105" s="498" t="s">
        <v>978</v>
      </c>
      <c r="B105" s="499" t="s">
        <v>2532</v>
      </c>
      <c r="C105" s="74">
        <v>0.5</v>
      </c>
      <c r="D105" s="38">
        <v>49.73</v>
      </c>
      <c r="E105" s="57">
        <f t="shared" si="4"/>
        <v>53.59668</v>
      </c>
      <c r="F105" s="32">
        <f t="shared" si="20"/>
        <v>63.244082399999996</v>
      </c>
      <c r="G105" s="80">
        <f t="shared" si="5"/>
        <v>70.88160929999998</v>
      </c>
      <c r="H105" s="19">
        <f t="shared" si="21"/>
        <v>83.64029897399998</v>
      </c>
      <c r="I105" s="80">
        <f t="shared" si="22"/>
        <v>115.63072864649459</v>
      </c>
      <c r="J105" s="19">
        <f t="shared" si="23"/>
        <v>136.4442598028636</v>
      </c>
      <c r="K105" s="94">
        <f t="shared" si="6"/>
        <v>1.6313220000000004</v>
      </c>
      <c r="N105">
        <f t="shared" si="14"/>
        <v>231.26145729298918</v>
      </c>
    </row>
    <row r="106" spans="1:14" ht="12.75">
      <c r="A106" s="498" t="s">
        <v>979</v>
      </c>
      <c r="B106" s="499" t="s">
        <v>798</v>
      </c>
      <c r="C106" s="74">
        <v>3</v>
      </c>
      <c r="D106" s="38">
        <v>298.35</v>
      </c>
      <c r="E106" s="57">
        <f t="shared" si="4"/>
        <v>321.58007999999995</v>
      </c>
      <c r="F106" s="32">
        <f t="shared" si="20"/>
        <v>379.4644943999999</v>
      </c>
      <c r="G106" s="80">
        <f t="shared" si="5"/>
        <v>425.2896557999998</v>
      </c>
      <c r="H106" s="19">
        <f t="shared" si="21"/>
        <v>501.84179384399977</v>
      </c>
      <c r="I106" s="80">
        <f t="shared" si="22"/>
        <v>693.7843718789675</v>
      </c>
      <c r="J106" s="19">
        <f t="shared" si="23"/>
        <v>818.6655588171816</v>
      </c>
      <c r="K106" s="94">
        <f t="shared" si="6"/>
        <v>1.6313220000000004</v>
      </c>
      <c r="N106">
        <f t="shared" si="14"/>
        <v>231.26145729298915</v>
      </c>
    </row>
    <row r="107" spans="1:14" ht="12.75">
      <c r="A107" s="498" t="s">
        <v>980</v>
      </c>
      <c r="B107" s="499" t="s">
        <v>1035</v>
      </c>
      <c r="C107" s="74">
        <v>2.5</v>
      </c>
      <c r="D107" s="38">
        <v>298.35</v>
      </c>
      <c r="E107" s="57">
        <f t="shared" si="4"/>
        <v>267.9834</v>
      </c>
      <c r="F107" s="32">
        <f t="shared" si="20"/>
        <v>316.220412</v>
      </c>
      <c r="G107" s="80">
        <f t="shared" si="5"/>
        <v>354.40804649999995</v>
      </c>
      <c r="H107" s="19">
        <f t="shared" si="21"/>
        <v>418.2014948699999</v>
      </c>
      <c r="I107" s="80">
        <f t="shared" si="22"/>
        <v>578.1536432324731</v>
      </c>
      <c r="J107" s="19">
        <f t="shared" si="23"/>
        <v>682.2212990143182</v>
      </c>
      <c r="K107" s="94">
        <f aca="true" t="shared" si="24" ref="K107:K152">I107/G107</f>
        <v>1.6313220000000004</v>
      </c>
      <c r="N107">
        <f t="shared" si="14"/>
        <v>231.26145729298923</v>
      </c>
    </row>
    <row r="108" spans="1:14" ht="12.75">
      <c r="A108" s="498" t="s">
        <v>981</v>
      </c>
      <c r="B108" s="499" t="s">
        <v>1036</v>
      </c>
      <c r="C108" s="74">
        <v>2</v>
      </c>
      <c r="D108" s="38">
        <v>298.35</v>
      </c>
      <c r="E108" s="57">
        <f t="shared" si="4"/>
        <v>214.38672</v>
      </c>
      <c r="F108" s="32">
        <f t="shared" si="20"/>
        <v>252.97632959999999</v>
      </c>
      <c r="G108" s="80">
        <f t="shared" si="5"/>
        <v>283.5264371999999</v>
      </c>
      <c r="H108" s="19">
        <f t="shared" si="21"/>
        <v>334.5611958959999</v>
      </c>
      <c r="I108" s="80">
        <f t="shared" si="22"/>
        <v>462.52291458597836</v>
      </c>
      <c r="J108" s="19">
        <f t="shared" si="23"/>
        <v>545.7770392114544</v>
      </c>
      <c r="K108" s="94">
        <f t="shared" si="24"/>
        <v>1.6313220000000004</v>
      </c>
      <c r="N108">
        <f t="shared" si="14"/>
        <v>231.26145729298918</v>
      </c>
    </row>
    <row r="109" spans="1:14" ht="12.75">
      <c r="A109" s="498" t="s">
        <v>982</v>
      </c>
      <c r="B109" s="499" t="s">
        <v>1031</v>
      </c>
      <c r="C109" s="74">
        <v>2.5</v>
      </c>
      <c r="D109" s="38">
        <v>248.63</v>
      </c>
      <c r="E109" s="57">
        <f t="shared" si="4"/>
        <v>267.9834</v>
      </c>
      <c r="F109" s="32">
        <f t="shared" si="20"/>
        <v>316.220412</v>
      </c>
      <c r="G109" s="80">
        <f t="shared" si="5"/>
        <v>354.40804649999995</v>
      </c>
      <c r="H109" s="19">
        <f t="shared" si="21"/>
        <v>418.2014948699999</v>
      </c>
      <c r="I109" s="80">
        <f t="shared" si="22"/>
        <v>578.1536432324731</v>
      </c>
      <c r="J109" s="19">
        <f t="shared" si="23"/>
        <v>682.2212990143182</v>
      </c>
      <c r="K109" s="94">
        <f t="shared" si="24"/>
        <v>1.6313220000000004</v>
      </c>
      <c r="N109">
        <f t="shared" si="14"/>
        <v>231.26145729298923</v>
      </c>
    </row>
    <row r="110" spans="1:14" s="111" customFormat="1" ht="12.75">
      <c r="A110" s="498" t="s">
        <v>983</v>
      </c>
      <c r="B110" s="505" t="s">
        <v>1063</v>
      </c>
      <c r="C110" s="204"/>
      <c r="D110" s="39"/>
      <c r="E110" s="57"/>
      <c r="F110" s="32"/>
      <c r="G110" s="80"/>
      <c r="H110" s="19"/>
      <c r="I110" s="80"/>
      <c r="J110" s="19"/>
      <c r="K110"/>
      <c r="L110"/>
      <c r="M110"/>
      <c r="N110" t="e">
        <f t="shared" si="14"/>
        <v>#DIV/0!</v>
      </c>
    </row>
    <row r="111" spans="1:14" ht="12.75">
      <c r="A111" s="498" t="s">
        <v>984</v>
      </c>
      <c r="B111" s="499" t="s">
        <v>1064</v>
      </c>
      <c r="C111" s="74">
        <v>3</v>
      </c>
      <c r="D111" s="38">
        <v>298.35</v>
      </c>
      <c r="E111" s="57">
        <f t="shared" si="4"/>
        <v>321.58007999999995</v>
      </c>
      <c r="F111" s="32">
        <f>E111*1.18</f>
        <v>379.4644943999999</v>
      </c>
      <c r="G111" s="80">
        <f t="shared" si="5"/>
        <v>425.2896557999998</v>
      </c>
      <c r="H111" s="19">
        <f aca="true" t="shared" si="25" ref="H111:J179">G111*1.18</f>
        <v>501.84179384399977</v>
      </c>
      <c r="I111" s="80">
        <f>G111*1.2*1.05*1.07*1.1*1.1</f>
        <v>693.7843718789675</v>
      </c>
      <c r="J111" s="19">
        <f t="shared" si="25"/>
        <v>818.6655588171816</v>
      </c>
      <c r="K111" s="94">
        <f t="shared" si="24"/>
        <v>1.6313220000000004</v>
      </c>
      <c r="N111">
        <f t="shared" si="14"/>
        <v>231.26145729298915</v>
      </c>
    </row>
    <row r="112" spans="1:14" ht="12.75">
      <c r="A112" s="498" t="s">
        <v>985</v>
      </c>
      <c r="B112" s="499" t="s">
        <v>2535</v>
      </c>
      <c r="C112" s="74">
        <v>3</v>
      </c>
      <c r="D112" s="38">
        <v>298.35</v>
      </c>
      <c r="E112" s="57">
        <f>C112*97.36*1.101</f>
        <v>321.58007999999995</v>
      </c>
      <c r="F112" s="32">
        <f>E112*1.18</f>
        <v>379.4644943999999</v>
      </c>
      <c r="G112" s="80">
        <f t="shared" si="5"/>
        <v>425.2896557999998</v>
      </c>
      <c r="H112" s="19">
        <f t="shared" si="25"/>
        <v>501.84179384399977</v>
      </c>
      <c r="I112" s="80">
        <f>G112*1.2*1.05*1.07*1.1*1.1</f>
        <v>693.7843718789675</v>
      </c>
      <c r="J112" s="19">
        <f t="shared" si="25"/>
        <v>818.6655588171816</v>
      </c>
      <c r="K112" s="94">
        <f t="shared" si="24"/>
        <v>1.6313220000000004</v>
      </c>
      <c r="N112">
        <f t="shared" si="14"/>
        <v>231.26145729298915</v>
      </c>
    </row>
    <row r="113" spans="1:14" ht="12.75">
      <c r="A113" s="498" t="s">
        <v>986</v>
      </c>
      <c r="B113" s="499" t="s">
        <v>698</v>
      </c>
      <c r="C113" s="74">
        <v>3</v>
      </c>
      <c r="D113" s="38">
        <v>298.35</v>
      </c>
      <c r="E113" s="57">
        <f>C113*97.36*1.101</f>
        <v>321.58007999999995</v>
      </c>
      <c r="F113" s="32">
        <f>E113*1.18</f>
        <v>379.4644943999999</v>
      </c>
      <c r="G113" s="80">
        <f aca="true" t="shared" si="26" ref="G113:G152">E113*1.15*1.15</f>
        <v>425.2896557999998</v>
      </c>
      <c r="H113" s="19">
        <f t="shared" si="25"/>
        <v>501.84179384399977</v>
      </c>
      <c r="I113" s="80">
        <f>G113*1.2*1.05*1.07*1.1*1.1</f>
        <v>693.7843718789675</v>
      </c>
      <c r="J113" s="19">
        <f t="shared" si="25"/>
        <v>818.6655588171816</v>
      </c>
      <c r="K113" s="94">
        <f t="shared" si="24"/>
        <v>1.6313220000000004</v>
      </c>
      <c r="N113">
        <f t="shared" si="14"/>
        <v>231.26145729298915</v>
      </c>
    </row>
    <row r="114" spans="1:14" ht="12.75">
      <c r="A114" s="498" t="s">
        <v>987</v>
      </c>
      <c r="B114" s="505" t="s">
        <v>699</v>
      </c>
      <c r="C114" s="204"/>
      <c r="D114" s="39"/>
      <c r="E114" s="57"/>
      <c r="F114" s="32"/>
      <c r="G114" s="80"/>
      <c r="H114" s="19"/>
      <c r="I114" s="80"/>
      <c r="J114" s="19"/>
      <c r="N114" t="e">
        <f t="shared" si="14"/>
        <v>#DIV/0!</v>
      </c>
    </row>
    <row r="115" spans="1:14" ht="12.75">
      <c r="A115" s="500"/>
      <c r="B115" s="499" t="s">
        <v>700</v>
      </c>
      <c r="C115" s="74">
        <v>2.5</v>
      </c>
      <c r="D115" s="38">
        <v>248.63</v>
      </c>
      <c r="E115" s="57">
        <f>C115*97.36*1.101</f>
        <v>267.9834</v>
      </c>
      <c r="F115" s="32">
        <f>E115*1.18</f>
        <v>316.220412</v>
      </c>
      <c r="G115" s="80">
        <f t="shared" si="26"/>
        <v>354.40804649999995</v>
      </c>
      <c r="H115" s="19">
        <f t="shared" si="25"/>
        <v>418.2014948699999</v>
      </c>
      <c r="I115" s="80">
        <f>G115*1.2*1.05*1.07*1.1*1.1</f>
        <v>578.1536432324731</v>
      </c>
      <c r="J115" s="19">
        <f t="shared" si="25"/>
        <v>682.2212990143182</v>
      </c>
      <c r="K115" s="94">
        <f t="shared" si="24"/>
        <v>1.6313220000000004</v>
      </c>
      <c r="N115">
        <f t="shared" si="14"/>
        <v>231.26145729298923</v>
      </c>
    </row>
    <row r="116" spans="1:14" s="111" customFormat="1" ht="12.75">
      <c r="A116" s="498" t="s">
        <v>988</v>
      </c>
      <c r="B116" s="505" t="s">
        <v>1065</v>
      </c>
      <c r="C116" s="204"/>
      <c r="D116" s="39"/>
      <c r="E116" s="57"/>
      <c r="F116" s="32"/>
      <c r="G116" s="80"/>
      <c r="H116" s="19"/>
      <c r="I116" s="80"/>
      <c r="J116" s="19"/>
      <c r="K116"/>
      <c r="L116"/>
      <c r="M116"/>
      <c r="N116" t="e">
        <f t="shared" si="14"/>
        <v>#DIV/0!</v>
      </c>
    </row>
    <row r="117" spans="1:14" ht="12.75">
      <c r="A117" s="500"/>
      <c r="B117" s="499" t="s">
        <v>2537</v>
      </c>
      <c r="C117" s="74">
        <v>0.5</v>
      </c>
      <c r="D117" s="38">
        <v>49.73</v>
      </c>
      <c r="E117" s="57">
        <f>C117*97.36*1.101</f>
        <v>53.59668</v>
      </c>
      <c r="F117" s="32">
        <f aca="true" t="shared" si="27" ref="F117:F186">E117*1.18</f>
        <v>63.244082399999996</v>
      </c>
      <c r="G117" s="80">
        <f t="shared" si="26"/>
        <v>70.88160929999998</v>
      </c>
      <c r="H117" s="19">
        <f t="shared" si="25"/>
        <v>83.64029897399998</v>
      </c>
      <c r="I117" s="80">
        <f>G117*1.2*1.05*1.07*1.1*1.1</f>
        <v>115.63072864649459</v>
      </c>
      <c r="J117" s="19">
        <f t="shared" si="25"/>
        <v>136.4442598028636</v>
      </c>
      <c r="K117" s="94">
        <f t="shared" si="24"/>
        <v>1.6313220000000004</v>
      </c>
      <c r="N117">
        <f t="shared" si="14"/>
        <v>231.26145729298918</v>
      </c>
    </row>
    <row r="118" spans="1:14" ht="12.75">
      <c r="A118" s="498" t="s">
        <v>989</v>
      </c>
      <c r="B118" s="505" t="s">
        <v>1066</v>
      </c>
      <c r="C118" s="204"/>
      <c r="D118" s="39"/>
      <c r="E118" s="57"/>
      <c r="F118" s="32"/>
      <c r="G118" s="80"/>
      <c r="H118" s="19"/>
      <c r="I118" s="80"/>
      <c r="J118" s="19"/>
      <c r="N118" t="e">
        <f t="shared" si="14"/>
        <v>#DIV/0!</v>
      </c>
    </row>
    <row r="119" spans="1:14" ht="25.5">
      <c r="A119" s="500" t="s">
        <v>3067</v>
      </c>
      <c r="B119" s="499" t="s">
        <v>706</v>
      </c>
      <c r="C119" s="74">
        <v>3.5</v>
      </c>
      <c r="D119" s="38">
        <v>546.97</v>
      </c>
      <c r="E119" s="57">
        <f>C119*97.36*1.101</f>
        <v>375.17676</v>
      </c>
      <c r="F119" s="32">
        <f t="shared" si="27"/>
        <v>442.7085768</v>
      </c>
      <c r="G119" s="80">
        <f t="shared" si="26"/>
        <v>496.1712650999999</v>
      </c>
      <c r="H119" s="19">
        <f t="shared" si="25"/>
        <v>585.4820928179998</v>
      </c>
      <c r="I119" s="80">
        <f>G119*1.2*1.05*1.07*1.1*1.1</f>
        <v>809.4151005254622</v>
      </c>
      <c r="J119" s="19">
        <f t="shared" si="25"/>
        <v>955.1098186200453</v>
      </c>
      <c r="K119" s="94">
        <f t="shared" si="24"/>
        <v>1.6313220000000004</v>
      </c>
      <c r="N119">
        <f t="shared" si="14"/>
        <v>231.2614572929892</v>
      </c>
    </row>
    <row r="120" spans="1:14" ht="38.25">
      <c r="A120" s="481" t="s">
        <v>3068</v>
      </c>
      <c r="B120" s="482" t="s">
        <v>3037</v>
      </c>
      <c r="C120" s="207">
        <v>3.5</v>
      </c>
      <c r="D120" s="19">
        <v>669.95</v>
      </c>
      <c r="E120" s="19">
        <v>789.36</v>
      </c>
      <c r="F120" s="32"/>
      <c r="G120" s="19"/>
      <c r="H120" s="19"/>
      <c r="I120" s="502">
        <f>735.83*1.1</f>
        <v>809.4130000000001</v>
      </c>
      <c r="J120" s="19">
        <f t="shared" si="25"/>
        <v>955.1073400000001</v>
      </c>
      <c r="K120" s="94"/>
      <c r="N120">
        <f t="shared" si="14"/>
        <v>231.2608571428572</v>
      </c>
    </row>
    <row r="121" spans="1:14" ht="12.75">
      <c r="A121" s="483" t="s">
        <v>1563</v>
      </c>
      <c r="B121" s="945" t="s">
        <v>1067</v>
      </c>
      <c r="C121" s="945"/>
      <c r="D121" s="945"/>
      <c r="E121" s="945"/>
      <c r="F121" s="945"/>
      <c r="G121" s="945"/>
      <c r="H121" s="945"/>
      <c r="I121" s="945"/>
      <c r="J121" s="945"/>
      <c r="K121" s="111"/>
      <c r="L121" s="111"/>
      <c r="M121" s="111"/>
      <c r="N121" t="e">
        <f t="shared" si="14"/>
        <v>#DIV/0!</v>
      </c>
    </row>
    <row r="122" spans="1:14" ht="12.75">
      <c r="A122" s="498" t="s">
        <v>991</v>
      </c>
      <c r="B122" s="499" t="s">
        <v>2531</v>
      </c>
      <c r="C122" s="74">
        <v>1</v>
      </c>
      <c r="D122" s="38">
        <v>149.17</v>
      </c>
      <c r="E122" s="57">
        <f aca="true" t="shared" si="28" ref="E122:E129">C122*97.36*1.101</f>
        <v>107.19336</v>
      </c>
      <c r="F122" s="32">
        <f t="shared" si="27"/>
        <v>126.48816479999999</v>
      </c>
      <c r="G122" s="80">
        <f t="shared" si="26"/>
        <v>141.76321859999996</v>
      </c>
      <c r="H122" s="19">
        <f t="shared" si="25"/>
        <v>167.28059794799995</v>
      </c>
      <c r="I122" s="80">
        <f aca="true" t="shared" si="29" ref="I122:I129">G122*1.2*1.05*1.07*1.1*1.1</f>
        <v>231.26145729298918</v>
      </c>
      <c r="J122" s="19">
        <f t="shared" si="25"/>
        <v>272.8885196057272</v>
      </c>
      <c r="K122" s="94">
        <f t="shared" si="24"/>
        <v>1.6313220000000004</v>
      </c>
      <c r="N122">
        <f t="shared" si="14"/>
        <v>231.26145729298918</v>
      </c>
    </row>
    <row r="123" spans="1:14" s="111" customFormat="1" ht="27" customHeight="1">
      <c r="A123" s="498" t="s">
        <v>990</v>
      </c>
      <c r="B123" s="499" t="s">
        <v>1548</v>
      </c>
      <c r="C123" s="74">
        <v>0.5</v>
      </c>
      <c r="D123" s="38">
        <v>99.45</v>
      </c>
      <c r="E123" s="57">
        <f t="shared" si="28"/>
        <v>53.59668</v>
      </c>
      <c r="F123" s="32">
        <f t="shared" si="27"/>
        <v>63.244082399999996</v>
      </c>
      <c r="G123" s="80">
        <f t="shared" si="26"/>
        <v>70.88160929999998</v>
      </c>
      <c r="H123" s="19">
        <f t="shared" si="25"/>
        <v>83.64029897399998</v>
      </c>
      <c r="I123" s="80">
        <f t="shared" si="29"/>
        <v>115.63072864649459</v>
      </c>
      <c r="J123" s="19">
        <f t="shared" si="25"/>
        <v>136.4442598028636</v>
      </c>
      <c r="K123" s="94">
        <f t="shared" si="24"/>
        <v>1.6313220000000004</v>
      </c>
      <c r="L123"/>
      <c r="M123"/>
      <c r="N123">
        <f t="shared" si="14"/>
        <v>231.26145729298918</v>
      </c>
    </row>
    <row r="124" spans="1:14" ht="12.75">
      <c r="A124" s="498" t="s">
        <v>992</v>
      </c>
      <c r="B124" s="499" t="s">
        <v>2532</v>
      </c>
      <c r="C124" s="74">
        <v>0.5</v>
      </c>
      <c r="D124" s="38">
        <v>49.73</v>
      </c>
      <c r="E124" s="57">
        <f t="shared" si="28"/>
        <v>53.59668</v>
      </c>
      <c r="F124" s="32">
        <f t="shared" si="27"/>
        <v>63.244082399999996</v>
      </c>
      <c r="G124" s="80">
        <f t="shared" si="26"/>
        <v>70.88160929999998</v>
      </c>
      <c r="H124" s="19">
        <f t="shared" si="25"/>
        <v>83.64029897399998</v>
      </c>
      <c r="I124" s="80">
        <f t="shared" si="29"/>
        <v>115.63072864649459</v>
      </c>
      <c r="J124" s="19">
        <f t="shared" si="25"/>
        <v>136.4442598028636</v>
      </c>
      <c r="K124" s="94">
        <f t="shared" si="24"/>
        <v>1.6313220000000004</v>
      </c>
      <c r="N124">
        <f t="shared" si="14"/>
        <v>231.26145729298918</v>
      </c>
    </row>
    <row r="125" spans="1:14" ht="12.75">
      <c r="A125" s="498" t="s">
        <v>993</v>
      </c>
      <c r="B125" s="499" t="s">
        <v>1031</v>
      </c>
      <c r="C125" s="74">
        <v>2.5</v>
      </c>
      <c r="D125" s="38">
        <v>248.63</v>
      </c>
      <c r="E125" s="57">
        <f t="shared" si="28"/>
        <v>267.9834</v>
      </c>
      <c r="F125" s="32">
        <f t="shared" si="27"/>
        <v>316.220412</v>
      </c>
      <c r="G125" s="80">
        <f t="shared" si="26"/>
        <v>354.40804649999995</v>
      </c>
      <c r="H125" s="19">
        <f t="shared" si="25"/>
        <v>418.2014948699999</v>
      </c>
      <c r="I125" s="80">
        <f t="shared" si="29"/>
        <v>578.1536432324731</v>
      </c>
      <c r="J125" s="19">
        <f t="shared" si="25"/>
        <v>682.2212990143182</v>
      </c>
      <c r="K125" s="94">
        <f t="shared" si="24"/>
        <v>1.6313220000000004</v>
      </c>
      <c r="N125">
        <f t="shared" si="14"/>
        <v>231.26145729298923</v>
      </c>
    </row>
    <row r="126" spans="1:14" ht="12.75">
      <c r="A126" s="498" t="s">
        <v>994</v>
      </c>
      <c r="B126" s="499" t="s">
        <v>798</v>
      </c>
      <c r="C126" s="74">
        <v>3</v>
      </c>
      <c r="D126" s="38" t="s">
        <v>1841</v>
      </c>
      <c r="E126" s="57">
        <f t="shared" si="28"/>
        <v>321.58007999999995</v>
      </c>
      <c r="F126" s="32">
        <f t="shared" si="27"/>
        <v>379.4644943999999</v>
      </c>
      <c r="G126" s="80">
        <f t="shared" si="26"/>
        <v>425.2896557999998</v>
      </c>
      <c r="H126" s="19">
        <f t="shared" si="25"/>
        <v>501.84179384399977</v>
      </c>
      <c r="I126" s="80">
        <f t="shared" si="29"/>
        <v>693.7843718789675</v>
      </c>
      <c r="J126" s="19">
        <f t="shared" si="25"/>
        <v>818.6655588171816</v>
      </c>
      <c r="K126" s="94">
        <f t="shared" si="24"/>
        <v>1.6313220000000004</v>
      </c>
      <c r="N126">
        <f t="shared" si="14"/>
        <v>231.26145729298915</v>
      </c>
    </row>
    <row r="127" spans="1:14" ht="12.75">
      <c r="A127" s="498" t="s">
        <v>995</v>
      </c>
      <c r="B127" s="499" t="s">
        <v>1036</v>
      </c>
      <c r="C127" s="74">
        <v>2</v>
      </c>
      <c r="D127" s="38">
        <v>298.35</v>
      </c>
      <c r="E127" s="57">
        <f t="shared" si="28"/>
        <v>214.38672</v>
      </c>
      <c r="F127" s="32">
        <f t="shared" si="27"/>
        <v>252.97632959999999</v>
      </c>
      <c r="G127" s="80">
        <f t="shared" si="26"/>
        <v>283.5264371999999</v>
      </c>
      <c r="H127" s="19">
        <f t="shared" si="25"/>
        <v>334.5611958959999</v>
      </c>
      <c r="I127" s="80">
        <f t="shared" si="29"/>
        <v>462.52291458597836</v>
      </c>
      <c r="J127" s="19">
        <f t="shared" si="25"/>
        <v>545.7770392114544</v>
      </c>
      <c r="K127" s="94">
        <f t="shared" si="24"/>
        <v>1.6313220000000004</v>
      </c>
      <c r="N127">
        <f t="shared" si="14"/>
        <v>231.26145729298918</v>
      </c>
    </row>
    <row r="128" spans="1:14" ht="12.75">
      <c r="A128" s="498" t="s">
        <v>996</v>
      </c>
      <c r="B128" s="499" t="s">
        <v>2537</v>
      </c>
      <c r="C128" s="74">
        <v>0.5</v>
      </c>
      <c r="D128" s="38">
        <v>49.73</v>
      </c>
      <c r="E128" s="57">
        <f t="shared" si="28"/>
        <v>53.59668</v>
      </c>
      <c r="F128" s="32">
        <f t="shared" si="27"/>
        <v>63.244082399999996</v>
      </c>
      <c r="G128" s="80">
        <f t="shared" si="26"/>
        <v>70.88160929999998</v>
      </c>
      <c r="H128" s="19">
        <f t="shared" si="25"/>
        <v>83.64029897399998</v>
      </c>
      <c r="I128" s="80">
        <f t="shared" si="29"/>
        <v>115.63072864649459</v>
      </c>
      <c r="J128" s="19">
        <f t="shared" si="25"/>
        <v>136.4442598028636</v>
      </c>
      <c r="K128" s="94">
        <f t="shared" si="24"/>
        <v>1.6313220000000004</v>
      </c>
      <c r="N128">
        <f t="shared" si="14"/>
        <v>231.26145729298918</v>
      </c>
    </row>
    <row r="129" spans="1:14" ht="25.5">
      <c r="A129" s="498" t="s">
        <v>997</v>
      </c>
      <c r="B129" s="499" t="s">
        <v>706</v>
      </c>
      <c r="C129" s="74">
        <v>3.5</v>
      </c>
      <c r="D129" s="38">
        <v>546.97</v>
      </c>
      <c r="E129" s="57">
        <f t="shared" si="28"/>
        <v>375.17676</v>
      </c>
      <c r="F129" s="32">
        <f t="shared" si="27"/>
        <v>442.7085768</v>
      </c>
      <c r="G129" s="80">
        <f t="shared" si="26"/>
        <v>496.1712650999999</v>
      </c>
      <c r="H129" s="19">
        <f t="shared" si="25"/>
        <v>585.4820928179998</v>
      </c>
      <c r="I129" s="80">
        <f t="shared" si="29"/>
        <v>809.4151005254622</v>
      </c>
      <c r="J129" s="19">
        <f t="shared" si="25"/>
        <v>955.1098186200453</v>
      </c>
      <c r="K129" s="94">
        <f t="shared" si="24"/>
        <v>1.6313220000000004</v>
      </c>
      <c r="N129">
        <f t="shared" si="14"/>
        <v>231.2614572929892</v>
      </c>
    </row>
    <row r="130" spans="1:14" ht="38.25">
      <c r="A130" s="481" t="s">
        <v>3069</v>
      </c>
      <c r="B130" s="482" t="s">
        <v>3037</v>
      </c>
      <c r="C130" s="207">
        <v>3.5</v>
      </c>
      <c r="D130" s="19">
        <v>669.95</v>
      </c>
      <c r="E130" s="19">
        <v>789.36</v>
      </c>
      <c r="F130" s="32"/>
      <c r="G130" s="19"/>
      <c r="H130" s="19"/>
      <c r="I130" s="502">
        <f>735.83*1.1</f>
        <v>809.4130000000001</v>
      </c>
      <c r="J130" s="19">
        <f t="shared" si="25"/>
        <v>955.1073400000001</v>
      </c>
      <c r="K130" s="94"/>
      <c r="N130">
        <f t="shared" si="14"/>
        <v>231.2608571428572</v>
      </c>
    </row>
    <row r="131" spans="1:14" ht="12.75">
      <c r="A131" s="483" t="s">
        <v>1564</v>
      </c>
      <c r="B131" s="945" t="s">
        <v>1842</v>
      </c>
      <c r="C131" s="945"/>
      <c r="D131" s="945"/>
      <c r="E131" s="945"/>
      <c r="F131" s="945"/>
      <c r="G131" s="945"/>
      <c r="H131" s="945"/>
      <c r="I131" s="945"/>
      <c r="J131" s="945"/>
      <c r="K131" s="111"/>
      <c r="L131" s="111"/>
      <c r="M131" s="111"/>
      <c r="N131" t="e">
        <f t="shared" si="14"/>
        <v>#DIV/0!</v>
      </c>
    </row>
    <row r="132" spans="1:14" ht="12.75">
      <c r="A132" s="498" t="s">
        <v>998</v>
      </c>
      <c r="B132" s="499" t="s">
        <v>2531</v>
      </c>
      <c r="C132" s="74">
        <v>1</v>
      </c>
      <c r="D132" s="38">
        <v>149.17</v>
      </c>
      <c r="E132" s="57">
        <f aca="true" t="shared" si="30" ref="E132:E137">C132*97.36*1.101</f>
        <v>107.19336</v>
      </c>
      <c r="F132" s="32">
        <f t="shared" si="27"/>
        <v>126.48816479999999</v>
      </c>
      <c r="G132" s="80">
        <f t="shared" si="26"/>
        <v>141.76321859999996</v>
      </c>
      <c r="H132" s="19">
        <f t="shared" si="25"/>
        <v>167.28059794799995</v>
      </c>
      <c r="I132" s="80">
        <f aca="true" t="shared" si="31" ref="I132:I137">G132*1.2*1.05*1.07*1.1*1.1</f>
        <v>231.26145729298918</v>
      </c>
      <c r="J132" s="19">
        <f t="shared" si="25"/>
        <v>272.8885196057272</v>
      </c>
      <c r="K132" s="94">
        <f t="shared" si="24"/>
        <v>1.6313220000000004</v>
      </c>
      <c r="N132">
        <f t="shared" si="14"/>
        <v>231.26145729298918</v>
      </c>
    </row>
    <row r="133" spans="1:14" ht="12.75">
      <c r="A133" s="498" t="s">
        <v>999</v>
      </c>
      <c r="B133" s="499" t="s">
        <v>1548</v>
      </c>
      <c r="C133" s="74">
        <v>0.5</v>
      </c>
      <c r="D133" s="38">
        <v>99.45</v>
      </c>
      <c r="E133" s="57">
        <f t="shared" si="30"/>
        <v>53.59668</v>
      </c>
      <c r="F133" s="32">
        <f t="shared" si="27"/>
        <v>63.244082399999996</v>
      </c>
      <c r="G133" s="80">
        <f t="shared" si="26"/>
        <v>70.88160929999998</v>
      </c>
      <c r="H133" s="19">
        <f t="shared" si="25"/>
        <v>83.64029897399998</v>
      </c>
      <c r="I133" s="80">
        <f t="shared" si="31"/>
        <v>115.63072864649459</v>
      </c>
      <c r="J133" s="19">
        <f t="shared" si="25"/>
        <v>136.4442598028636</v>
      </c>
      <c r="K133" s="94">
        <f t="shared" si="24"/>
        <v>1.6313220000000004</v>
      </c>
      <c r="N133">
        <f t="shared" si="14"/>
        <v>231.26145729298918</v>
      </c>
    </row>
    <row r="134" spans="1:14" ht="12.75">
      <c r="A134" s="498" t="s">
        <v>1000</v>
      </c>
      <c r="B134" s="499" t="s">
        <v>2532</v>
      </c>
      <c r="C134" s="74">
        <v>0.5</v>
      </c>
      <c r="D134" s="38">
        <v>49.73</v>
      </c>
      <c r="E134" s="57">
        <f t="shared" si="30"/>
        <v>53.59668</v>
      </c>
      <c r="F134" s="32">
        <f t="shared" si="27"/>
        <v>63.244082399999996</v>
      </c>
      <c r="G134" s="80">
        <f t="shared" si="26"/>
        <v>70.88160929999998</v>
      </c>
      <c r="H134" s="19">
        <f t="shared" si="25"/>
        <v>83.64029897399998</v>
      </c>
      <c r="I134" s="80">
        <f t="shared" si="31"/>
        <v>115.63072864649459</v>
      </c>
      <c r="J134" s="19">
        <f t="shared" si="25"/>
        <v>136.4442598028636</v>
      </c>
      <c r="K134" s="94">
        <f t="shared" si="24"/>
        <v>1.6313220000000004</v>
      </c>
      <c r="N134">
        <f t="shared" si="14"/>
        <v>231.26145729298918</v>
      </c>
    </row>
    <row r="135" spans="1:14" ht="12.75">
      <c r="A135" s="498" t="s">
        <v>1001</v>
      </c>
      <c r="B135" s="499" t="s">
        <v>1036</v>
      </c>
      <c r="C135" s="74">
        <v>2</v>
      </c>
      <c r="D135" s="38">
        <v>298.35</v>
      </c>
      <c r="E135" s="57">
        <f t="shared" si="30"/>
        <v>214.38672</v>
      </c>
      <c r="F135" s="32">
        <f t="shared" si="27"/>
        <v>252.97632959999999</v>
      </c>
      <c r="G135" s="80">
        <f t="shared" si="26"/>
        <v>283.5264371999999</v>
      </c>
      <c r="H135" s="19">
        <f t="shared" si="25"/>
        <v>334.5611958959999</v>
      </c>
      <c r="I135" s="80">
        <f t="shared" si="31"/>
        <v>462.52291458597836</v>
      </c>
      <c r="J135" s="19">
        <f t="shared" si="25"/>
        <v>545.7770392114544</v>
      </c>
      <c r="K135" s="94">
        <f t="shared" si="24"/>
        <v>1.6313220000000004</v>
      </c>
      <c r="N135">
        <f t="shared" si="14"/>
        <v>231.26145729298918</v>
      </c>
    </row>
    <row r="136" spans="1:14" ht="12.75">
      <c r="A136" s="498" t="s">
        <v>1002</v>
      </c>
      <c r="B136" s="499" t="s">
        <v>2537</v>
      </c>
      <c r="C136" s="74">
        <v>0.5</v>
      </c>
      <c r="D136" s="38">
        <v>49.73</v>
      </c>
      <c r="E136" s="57">
        <f t="shared" si="30"/>
        <v>53.59668</v>
      </c>
      <c r="F136" s="32">
        <f t="shared" si="27"/>
        <v>63.244082399999996</v>
      </c>
      <c r="G136" s="80">
        <f t="shared" si="26"/>
        <v>70.88160929999998</v>
      </c>
      <c r="H136" s="19">
        <f t="shared" si="25"/>
        <v>83.64029897399998</v>
      </c>
      <c r="I136" s="80">
        <f t="shared" si="31"/>
        <v>115.63072864649459</v>
      </c>
      <c r="J136" s="19">
        <f t="shared" si="25"/>
        <v>136.4442598028636</v>
      </c>
      <c r="K136" s="94">
        <f t="shared" si="24"/>
        <v>1.6313220000000004</v>
      </c>
      <c r="N136">
        <f t="shared" si="14"/>
        <v>231.26145729298918</v>
      </c>
    </row>
    <row r="137" spans="1:14" ht="25.5">
      <c r="A137" s="498" t="s">
        <v>1003</v>
      </c>
      <c r="B137" s="499" t="s">
        <v>706</v>
      </c>
      <c r="C137" s="74">
        <v>3.5</v>
      </c>
      <c r="D137" s="38">
        <v>546.97</v>
      </c>
      <c r="E137" s="57">
        <f t="shared" si="30"/>
        <v>375.17676</v>
      </c>
      <c r="F137" s="32">
        <f t="shared" si="27"/>
        <v>442.7085768</v>
      </c>
      <c r="G137" s="80">
        <f t="shared" si="26"/>
        <v>496.1712650999999</v>
      </c>
      <c r="H137" s="19">
        <f t="shared" si="25"/>
        <v>585.4820928179998</v>
      </c>
      <c r="I137" s="80">
        <f t="shared" si="31"/>
        <v>809.4151005254622</v>
      </c>
      <c r="J137" s="19">
        <f t="shared" si="25"/>
        <v>955.1098186200453</v>
      </c>
      <c r="K137" s="94">
        <f t="shared" si="24"/>
        <v>1.6313220000000004</v>
      </c>
      <c r="N137">
        <f t="shared" si="14"/>
        <v>231.2614572929892</v>
      </c>
    </row>
    <row r="138" spans="1:14" ht="38.25">
      <c r="A138" s="483" t="s">
        <v>3070</v>
      </c>
      <c r="B138" s="482" t="s">
        <v>3037</v>
      </c>
      <c r="C138" s="207">
        <v>3.5</v>
      </c>
      <c r="D138" s="19">
        <v>669.95</v>
      </c>
      <c r="E138" s="19">
        <v>789.36</v>
      </c>
      <c r="F138" s="32"/>
      <c r="G138" s="19"/>
      <c r="H138" s="19"/>
      <c r="I138" s="502">
        <f>735.83*1.1</f>
        <v>809.4130000000001</v>
      </c>
      <c r="J138" s="19">
        <f t="shared" si="25"/>
        <v>955.1073400000001</v>
      </c>
      <c r="K138" s="94"/>
      <c r="N138">
        <f t="shared" si="14"/>
        <v>231.2608571428572</v>
      </c>
    </row>
    <row r="139" spans="1:14" ht="12.75">
      <c r="A139" s="483" t="s">
        <v>1565</v>
      </c>
      <c r="B139" s="945" t="s">
        <v>1843</v>
      </c>
      <c r="C139" s="945"/>
      <c r="D139" s="945"/>
      <c r="E139" s="945"/>
      <c r="F139" s="945"/>
      <c r="G139" s="945"/>
      <c r="H139" s="945"/>
      <c r="I139" s="945"/>
      <c r="J139" s="945"/>
      <c r="K139" s="111"/>
      <c r="L139" s="111"/>
      <c r="M139" s="111"/>
      <c r="N139" t="e">
        <f t="shared" si="14"/>
        <v>#DIV/0!</v>
      </c>
    </row>
    <row r="140" spans="1:14" ht="12.75">
      <c r="A140" s="498" t="s">
        <v>1004</v>
      </c>
      <c r="B140" s="499" t="s">
        <v>2531</v>
      </c>
      <c r="C140" s="74">
        <v>1</v>
      </c>
      <c r="D140" s="38">
        <v>149.17</v>
      </c>
      <c r="E140" s="57">
        <f>C140*97.36*1.101</f>
        <v>107.19336</v>
      </c>
      <c r="F140" s="32">
        <f t="shared" si="27"/>
        <v>126.48816479999999</v>
      </c>
      <c r="G140" s="80">
        <f t="shared" si="26"/>
        <v>141.76321859999996</v>
      </c>
      <c r="H140" s="19">
        <f t="shared" si="25"/>
        <v>167.28059794799995</v>
      </c>
      <c r="I140" s="80">
        <f>G140*1.2*1.05*1.07*1.1*1.1</f>
        <v>231.26145729298918</v>
      </c>
      <c r="J140" s="19">
        <f t="shared" si="25"/>
        <v>272.8885196057272</v>
      </c>
      <c r="K140" s="94">
        <f t="shared" si="24"/>
        <v>1.6313220000000004</v>
      </c>
      <c r="N140">
        <f t="shared" si="14"/>
        <v>231.26145729298918</v>
      </c>
    </row>
    <row r="141" spans="1:14" ht="12.75">
      <c r="A141" s="498" t="s">
        <v>1005</v>
      </c>
      <c r="B141" s="499" t="s">
        <v>1548</v>
      </c>
      <c r="C141" s="74">
        <v>0.5</v>
      </c>
      <c r="D141" s="38">
        <v>99.45</v>
      </c>
      <c r="E141" s="57">
        <f>C141*97.36*1.101</f>
        <v>53.59668</v>
      </c>
      <c r="F141" s="32">
        <f t="shared" si="27"/>
        <v>63.244082399999996</v>
      </c>
      <c r="G141" s="80">
        <f t="shared" si="26"/>
        <v>70.88160929999998</v>
      </c>
      <c r="H141" s="19">
        <f t="shared" si="25"/>
        <v>83.64029897399998</v>
      </c>
      <c r="I141" s="80">
        <f>G141*1.2*1.05*1.07*1.1*1.1</f>
        <v>115.63072864649459</v>
      </c>
      <c r="J141" s="19">
        <f t="shared" si="25"/>
        <v>136.4442598028636</v>
      </c>
      <c r="K141" s="94">
        <f t="shared" si="24"/>
        <v>1.6313220000000004</v>
      </c>
      <c r="N141">
        <f t="shared" si="14"/>
        <v>231.26145729298918</v>
      </c>
    </row>
    <row r="142" spans="1:14" ht="12.75">
      <c r="A142" s="498" t="s">
        <v>1006</v>
      </c>
      <c r="B142" s="499" t="s">
        <v>2532</v>
      </c>
      <c r="C142" s="74">
        <v>0.5</v>
      </c>
      <c r="D142" s="38">
        <v>49.73</v>
      </c>
      <c r="E142" s="57">
        <f>C142*97.36*1.101</f>
        <v>53.59668</v>
      </c>
      <c r="F142" s="32">
        <f t="shared" si="27"/>
        <v>63.244082399999996</v>
      </c>
      <c r="G142" s="80">
        <f t="shared" si="26"/>
        <v>70.88160929999998</v>
      </c>
      <c r="H142" s="19">
        <f t="shared" si="25"/>
        <v>83.64029897399998</v>
      </c>
      <c r="I142" s="80">
        <f>G142*1.2*1.05*1.07*1.1*1.1</f>
        <v>115.63072864649459</v>
      </c>
      <c r="J142" s="19">
        <f t="shared" si="25"/>
        <v>136.4442598028636</v>
      </c>
      <c r="K142" s="94">
        <f t="shared" si="24"/>
        <v>1.6313220000000004</v>
      </c>
      <c r="N142">
        <f t="shared" si="14"/>
        <v>231.26145729298918</v>
      </c>
    </row>
    <row r="143" spans="1:14" ht="12.75">
      <c r="A143" s="498" t="s">
        <v>1007</v>
      </c>
      <c r="B143" s="499" t="s">
        <v>2537</v>
      </c>
      <c r="C143" s="74">
        <v>0.5</v>
      </c>
      <c r="D143" s="38">
        <v>49.73</v>
      </c>
      <c r="E143" s="57">
        <f>C143*97.36*1.101</f>
        <v>53.59668</v>
      </c>
      <c r="F143" s="32">
        <f t="shared" si="27"/>
        <v>63.244082399999996</v>
      </c>
      <c r="G143" s="80">
        <f t="shared" si="26"/>
        <v>70.88160929999998</v>
      </c>
      <c r="H143" s="19">
        <f t="shared" si="25"/>
        <v>83.64029897399998</v>
      </c>
      <c r="I143" s="80">
        <f>G143*1.2*1.05*1.07*1.1*1.1</f>
        <v>115.63072864649459</v>
      </c>
      <c r="J143" s="19">
        <f t="shared" si="25"/>
        <v>136.4442598028636</v>
      </c>
      <c r="K143" s="94">
        <f t="shared" si="24"/>
        <v>1.6313220000000004</v>
      </c>
      <c r="N143">
        <f t="shared" si="14"/>
        <v>231.26145729298918</v>
      </c>
    </row>
    <row r="144" spans="1:14" ht="25.5">
      <c r="A144" s="498" t="s">
        <v>1008</v>
      </c>
      <c r="B144" s="499" t="s">
        <v>706</v>
      </c>
      <c r="C144" s="74">
        <v>3.5</v>
      </c>
      <c r="D144" s="38">
        <v>546.97</v>
      </c>
      <c r="E144" s="57">
        <f>C144*97.36*1.101</f>
        <v>375.17676</v>
      </c>
      <c r="F144" s="32">
        <f t="shared" si="27"/>
        <v>442.7085768</v>
      </c>
      <c r="G144" s="80">
        <f t="shared" si="26"/>
        <v>496.1712650999999</v>
      </c>
      <c r="H144" s="19">
        <f t="shared" si="25"/>
        <v>585.4820928179998</v>
      </c>
      <c r="I144" s="80">
        <f>G144*1.2*1.05*1.07*1.1*1.1</f>
        <v>809.4151005254622</v>
      </c>
      <c r="J144" s="19">
        <f t="shared" si="25"/>
        <v>955.1098186200453</v>
      </c>
      <c r="K144" s="94">
        <f t="shared" si="24"/>
        <v>1.6313220000000004</v>
      </c>
      <c r="N144">
        <f t="shared" si="14"/>
        <v>231.2614572929892</v>
      </c>
    </row>
    <row r="145" spans="1:14" ht="38.25">
      <c r="A145" s="483" t="s">
        <v>3071</v>
      </c>
      <c r="B145" s="482" t="s">
        <v>3037</v>
      </c>
      <c r="C145" s="207">
        <v>3.5</v>
      </c>
      <c r="D145" s="19">
        <v>669.95</v>
      </c>
      <c r="E145" s="19">
        <v>789.36</v>
      </c>
      <c r="F145" s="32"/>
      <c r="G145" s="19"/>
      <c r="H145" s="19"/>
      <c r="I145" s="502">
        <f>735.83*1.1</f>
        <v>809.4130000000001</v>
      </c>
      <c r="J145" s="19">
        <f t="shared" si="25"/>
        <v>955.1073400000001</v>
      </c>
      <c r="K145" s="94"/>
      <c r="N145">
        <f aca="true" t="shared" si="32" ref="N145:N208">I145/C145</f>
        <v>231.2608571428572</v>
      </c>
    </row>
    <row r="146" spans="1:14" ht="12.75">
      <c r="A146" s="483" t="s">
        <v>1566</v>
      </c>
      <c r="B146" s="945" t="s">
        <v>1844</v>
      </c>
      <c r="C146" s="945"/>
      <c r="D146" s="945"/>
      <c r="E146" s="945"/>
      <c r="F146" s="945"/>
      <c r="G146" s="945"/>
      <c r="H146" s="945"/>
      <c r="I146" s="945"/>
      <c r="J146" s="945"/>
      <c r="K146" s="111"/>
      <c r="L146" s="111"/>
      <c r="M146" s="111"/>
      <c r="N146" t="e">
        <f t="shared" si="32"/>
        <v>#DIV/0!</v>
      </c>
    </row>
    <row r="147" spans="1:14" ht="12.75">
      <c r="A147" s="498" t="s">
        <v>1009</v>
      </c>
      <c r="B147" s="499" t="s">
        <v>2531</v>
      </c>
      <c r="C147" s="74">
        <v>1</v>
      </c>
      <c r="D147" s="38">
        <v>149.17</v>
      </c>
      <c r="E147" s="57">
        <f aca="true" t="shared" si="33" ref="E147:E152">C147*97.36*1.101</f>
        <v>107.19336</v>
      </c>
      <c r="F147" s="32">
        <f t="shared" si="27"/>
        <v>126.48816479999999</v>
      </c>
      <c r="G147" s="80">
        <f t="shared" si="26"/>
        <v>141.76321859999996</v>
      </c>
      <c r="H147" s="19">
        <f t="shared" si="25"/>
        <v>167.28059794799995</v>
      </c>
      <c r="I147" s="80">
        <f aca="true" t="shared" si="34" ref="I147:I152">G147*1.2*1.05*1.07*1.1*1.1</f>
        <v>231.26145729298918</v>
      </c>
      <c r="J147" s="19">
        <f t="shared" si="25"/>
        <v>272.8885196057272</v>
      </c>
      <c r="K147" s="94">
        <f t="shared" si="24"/>
        <v>1.6313220000000004</v>
      </c>
      <c r="N147">
        <f t="shared" si="32"/>
        <v>231.26145729298918</v>
      </c>
    </row>
    <row r="148" spans="1:14" ht="12.75">
      <c r="A148" s="498" t="s">
        <v>1010</v>
      </c>
      <c r="B148" s="499" t="s">
        <v>1548</v>
      </c>
      <c r="C148" s="74">
        <v>0.5</v>
      </c>
      <c r="D148" s="38">
        <v>99.45</v>
      </c>
      <c r="E148" s="57">
        <f t="shared" si="33"/>
        <v>53.59668</v>
      </c>
      <c r="F148" s="32">
        <f t="shared" si="27"/>
        <v>63.244082399999996</v>
      </c>
      <c r="G148" s="80">
        <f t="shared" si="26"/>
        <v>70.88160929999998</v>
      </c>
      <c r="H148" s="19">
        <f t="shared" si="25"/>
        <v>83.64029897399998</v>
      </c>
      <c r="I148" s="80">
        <f t="shared" si="34"/>
        <v>115.63072864649459</v>
      </c>
      <c r="J148" s="19">
        <f t="shared" si="25"/>
        <v>136.4442598028636</v>
      </c>
      <c r="K148" s="94">
        <f t="shared" si="24"/>
        <v>1.6313220000000004</v>
      </c>
      <c r="N148">
        <f t="shared" si="32"/>
        <v>231.26145729298918</v>
      </c>
    </row>
    <row r="149" spans="1:14" ht="12.75">
      <c r="A149" s="498" t="s">
        <v>1011</v>
      </c>
      <c r="B149" s="499" t="s">
        <v>2532</v>
      </c>
      <c r="C149" s="74">
        <v>0.5</v>
      </c>
      <c r="D149" s="38">
        <v>49.73</v>
      </c>
      <c r="E149" s="57">
        <f t="shared" si="33"/>
        <v>53.59668</v>
      </c>
      <c r="F149" s="32">
        <f t="shared" si="27"/>
        <v>63.244082399999996</v>
      </c>
      <c r="G149" s="80">
        <f t="shared" si="26"/>
        <v>70.88160929999998</v>
      </c>
      <c r="H149" s="19">
        <f t="shared" si="25"/>
        <v>83.64029897399998</v>
      </c>
      <c r="I149" s="80">
        <f t="shared" si="34"/>
        <v>115.63072864649459</v>
      </c>
      <c r="J149" s="19">
        <f t="shared" si="25"/>
        <v>136.4442598028636</v>
      </c>
      <c r="K149" s="94">
        <f t="shared" si="24"/>
        <v>1.6313220000000004</v>
      </c>
      <c r="N149">
        <f t="shared" si="32"/>
        <v>231.26145729298918</v>
      </c>
    </row>
    <row r="150" spans="1:14" ht="12.75">
      <c r="A150" s="498" t="s">
        <v>1012</v>
      </c>
      <c r="B150" s="499" t="s">
        <v>798</v>
      </c>
      <c r="C150" s="74">
        <v>3</v>
      </c>
      <c r="D150" s="38">
        <v>298.35</v>
      </c>
      <c r="E150" s="57">
        <f t="shared" si="33"/>
        <v>321.58007999999995</v>
      </c>
      <c r="F150" s="32">
        <f t="shared" si="27"/>
        <v>379.4644943999999</v>
      </c>
      <c r="G150" s="80">
        <f t="shared" si="26"/>
        <v>425.2896557999998</v>
      </c>
      <c r="H150" s="19">
        <f t="shared" si="25"/>
        <v>501.84179384399977</v>
      </c>
      <c r="I150" s="80">
        <f t="shared" si="34"/>
        <v>693.7843718789675</v>
      </c>
      <c r="J150" s="19">
        <f t="shared" si="25"/>
        <v>818.6655588171816</v>
      </c>
      <c r="K150" s="94">
        <f t="shared" si="24"/>
        <v>1.6313220000000004</v>
      </c>
      <c r="N150">
        <f t="shared" si="32"/>
        <v>231.26145729298915</v>
      </c>
    </row>
    <row r="151" spans="1:14" ht="12.75">
      <c r="A151" s="498" t="s">
        <v>1013</v>
      </c>
      <c r="B151" s="499" t="s">
        <v>561</v>
      </c>
      <c r="C151" s="74">
        <v>2.5</v>
      </c>
      <c r="D151" s="38">
        <v>248.63</v>
      </c>
      <c r="E151" s="57">
        <f t="shared" si="33"/>
        <v>267.9834</v>
      </c>
      <c r="F151" s="32">
        <f t="shared" si="27"/>
        <v>316.220412</v>
      </c>
      <c r="G151" s="80">
        <f t="shared" si="26"/>
        <v>354.40804649999995</v>
      </c>
      <c r="H151" s="19">
        <f t="shared" si="25"/>
        <v>418.2014948699999</v>
      </c>
      <c r="I151" s="80">
        <f t="shared" si="34"/>
        <v>578.1536432324731</v>
      </c>
      <c r="J151" s="19">
        <f t="shared" si="25"/>
        <v>682.2212990143182</v>
      </c>
      <c r="K151" s="94">
        <f t="shared" si="24"/>
        <v>1.6313220000000004</v>
      </c>
      <c r="N151">
        <f t="shared" si="32"/>
        <v>231.26145729298923</v>
      </c>
    </row>
    <row r="152" spans="1:14" ht="12.75">
      <c r="A152" s="498" t="s">
        <v>1014</v>
      </c>
      <c r="B152" s="499" t="s">
        <v>1032</v>
      </c>
      <c r="C152" s="74">
        <v>3</v>
      </c>
      <c r="D152" s="38">
        <v>298.35</v>
      </c>
      <c r="E152" s="57">
        <f t="shared" si="33"/>
        <v>321.58007999999995</v>
      </c>
      <c r="F152" s="32">
        <f t="shared" si="27"/>
        <v>379.4644943999999</v>
      </c>
      <c r="G152" s="80">
        <f t="shared" si="26"/>
        <v>425.2896557999998</v>
      </c>
      <c r="H152" s="19">
        <f t="shared" si="25"/>
        <v>501.84179384399977</v>
      </c>
      <c r="I152" s="80">
        <f t="shared" si="34"/>
        <v>693.7843718789675</v>
      </c>
      <c r="J152" s="19">
        <f t="shared" si="25"/>
        <v>818.6655588171816</v>
      </c>
      <c r="K152" s="94">
        <f t="shared" si="24"/>
        <v>1.6313220000000004</v>
      </c>
      <c r="N152">
        <f t="shared" si="32"/>
        <v>231.26145729298915</v>
      </c>
    </row>
    <row r="153" spans="1:14" ht="30.75" customHeight="1">
      <c r="A153" s="483" t="s">
        <v>772</v>
      </c>
      <c r="B153" s="945" t="s">
        <v>803</v>
      </c>
      <c r="C153" s="945"/>
      <c r="D153" s="945"/>
      <c r="E153" s="945"/>
      <c r="F153" s="945"/>
      <c r="G153" s="945"/>
      <c r="H153" s="945"/>
      <c r="I153" s="945"/>
      <c r="J153" s="945"/>
      <c r="K153" s="111"/>
      <c r="L153" s="111"/>
      <c r="M153" s="111"/>
      <c r="N153" t="e">
        <f t="shared" si="32"/>
        <v>#DIV/0!</v>
      </c>
    </row>
    <row r="154" spans="1:14" ht="12.75">
      <c r="A154" s="498" t="s">
        <v>1015</v>
      </c>
      <c r="B154" s="505" t="s">
        <v>879</v>
      </c>
      <c r="C154" s="204"/>
      <c r="D154" s="40"/>
      <c r="E154" s="57"/>
      <c r="F154" s="32"/>
      <c r="G154" s="69"/>
      <c r="H154" s="32"/>
      <c r="I154" s="69"/>
      <c r="J154" s="32"/>
      <c r="N154" t="e">
        <f t="shared" si="32"/>
        <v>#DIV/0!</v>
      </c>
    </row>
    <row r="155" spans="1:14" ht="12.75">
      <c r="A155" s="498" t="s">
        <v>1016</v>
      </c>
      <c r="B155" s="506" t="s">
        <v>2497</v>
      </c>
      <c r="C155" s="204">
        <v>0.5</v>
      </c>
      <c r="D155" s="38">
        <v>149.17</v>
      </c>
      <c r="E155" s="57">
        <f aca="true" t="shared" si="35" ref="E155:E165">C155*97.36*1.101</f>
        <v>53.59668</v>
      </c>
      <c r="F155" s="32">
        <f t="shared" si="27"/>
        <v>63.244082399999996</v>
      </c>
      <c r="G155" s="80">
        <f aca="true" t="shared" si="36" ref="G155:G240">E155*1.15*1.15</f>
        <v>70.88160929999998</v>
      </c>
      <c r="H155" s="19">
        <f t="shared" si="25"/>
        <v>83.64029897399998</v>
      </c>
      <c r="I155" s="80">
        <f aca="true" t="shared" si="37" ref="I155:I165">G155*1.2*1.05*1.07*1.1*1.1</f>
        <v>115.63072864649459</v>
      </c>
      <c r="J155" s="19">
        <f t="shared" si="25"/>
        <v>136.4442598028636</v>
      </c>
      <c r="K155" s="94">
        <f aca="true" t="shared" si="38" ref="K155:K240">I155/G155</f>
        <v>1.6313220000000004</v>
      </c>
      <c r="N155">
        <f t="shared" si="32"/>
        <v>231.26145729298918</v>
      </c>
    </row>
    <row r="156" spans="1:14" ht="12.75">
      <c r="A156" s="498" t="s">
        <v>1017</v>
      </c>
      <c r="B156" s="506" t="s">
        <v>2498</v>
      </c>
      <c r="C156" s="204">
        <v>0.5</v>
      </c>
      <c r="D156" s="38">
        <v>149.17</v>
      </c>
      <c r="E156" s="57">
        <f t="shared" si="35"/>
        <v>53.59668</v>
      </c>
      <c r="F156" s="32">
        <f t="shared" si="27"/>
        <v>63.244082399999996</v>
      </c>
      <c r="G156" s="80">
        <f t="shared" si="36"/>
        <v>70.88160929999998</v>
      </c>
      <c r="H156" s="19">
        <f t="shared" si="25"/>
        <v>83.64029897399998</v>
      </c>
      <c r="I156" s="80">
        <f t="shared" si="37"/>
        <v>115.63072864649459</v>
      </c>
      <c r="J156" s="19">
        <f t="shared" si="25"/>
        <v>136.4442598028636</v>
      </c>
      <c r="K156" s="94">
        <f t="shared" si="38"/>
        <v>1.6313220000000004</v>
      </c>
      <c r="N156">
        <f t="shared" si="32"/>
        <v>231.26145729298918</v>
      </c>
    </row>
    <row r="157" spans="1:14" ht="25.5">
      <c r="A157" s="498" t="s">
        <v>1018</v>
      </c>
      <c r="B157" s="506" t="s">
        <v>2617</v>
      </c>
      <c r="C157" s="204">
        <v>0.8</v>
      </c>
      <c r="D157" s="38">
        <v>149.17</v>
      </c>
      <c r="E157" s="57">
        <f>C157*97.36*1.101</f>
        <v>85.754688</v>
      </c>
      <c r="F157" s="32">
        <f t="shared" si="27"/>
        <v>101.19053183999999</v>
      </c>
      <c r="G157" s="80">
        <f t="shared" si="36"/>
        <v>113.41057487999998</v>
      </c>
      <c r="H157" s="19">
        <f t="shared" si="25"/>
        <v>133.82447835839997</v>
      </c>
      <c r="I157" s="80">
        <f t="shared" si="37"/>
        <v>185.00916583439135</v>
      </c>
      <c r="J157" s="19">
        <f t="shared" si="25"/>
        <v>218.3108156845818</v>
      </c>
      <c r="K157" s="94">
        <f t="shared" si="38"/>
        <v>1.6313220000000002</v>
      </c>
      <c r="N157">
        <f t="shared" si="32"/>
        <v>231.26145729298918</v>
      </c>
    </row>
    <row r="158" spans="1:14" ht="12.75">
      <c r="A158" s="498" t="s">
        <v>1019</v>
      </c>
      <c r="B158" s="506" t="s">
        <v>2618</v>
      </c>
      <c r="C158" s="204">
        <v>0.8</v>
      </c>
      <c r="D158" s="38">
        <v>149.17</v>
      </c>
      <c r="E158" s="57">
        <f>C158*97.36*1.101</f>
        <v>85.754688</v>
      </c>
      <c r="F158" s="32">
        <f t="shared" si="27"/>
        <v>101.19053183999999</v>
      </c>
      <c r="G158" s="80">
        <f t="shared" si="36"/>
        <v>113.41057487999998</v>
      </c>
      <c r="H158" s="19">
        <f t="shared" si="25"/>
        <v>133.82447835839997</v>
      </c>
      <c r="I158" s="80">
        <f t="shared" si="37"/>
        <v>185.00916583439135</v>
      </c>
      <c r="J158" s="19">
        <f t="shared" si="25"/>
        <v>218.3108156845818</v>
      </c>
      <c r="K158" s="94">
        <f t="shared" si="38"/>
        <v>1.6313220000000002</v>
      </c>
      <c r="N158">
        <f t="shared" si="32"/>
        <v>231.26145729298918</v>
      </c>
    </row>
    <row r="159" spans="1:14" ht="12.75">
      <c r="A159" s="498" t="s">
        <v>1020</v>
      </c>
      <c r="B159" s="506" t="s">
        <v>804</v>
      </c>
      <c r="C159" s="74">
        <v>1</v>
      </c>
      <c r="D159" s="38">
        <v>99.45</v>
      </c>
      <c r="E159" s="57">
        <f t="shared" si="35"/>
        <v>107.19336</v>
      </c>
      <c r="F159" s="32">
        <f t="shared" si="27"/>
        <v>126.48816479999999</v>
      </c>
      <c r="G159" s="80">
        <f t="shared" si="36"/>
        <v>141.76321859999996</v>
      </c>
      <c r="H159" s="19">
        <f t="shared" si="25"/>
        <v>167.28059794799995</v>
      </c>
      <c r="I159" s="80">
        <f t="shared" si="37"/>
        <v>231.26145729298918</v>
      </c>
      <c r="J159" s="19">
        <f t="shared" si="25"/>
        <v>272.8885196057272</v>
      </c>
      <c r="K159" s="94">
        <f t="shared" si="38"/>
        <v>1.6313220000000004</v>
      </c>
      <c r="N159">
        <f t="shared" si="32"/>
        <v>231.26145729298918</v>
      </c>
    </row>
    <row r="160" spans="1:14" s="719" customFormat="1" ht="12.75">
      <c r="A160" s="752" t="s">
        <v>1021</v>
      </c>
      <c r="B160" s="753" t="s">
        <v>880</v>
      </c>
      <c r="C160" s="754">
        <v>0.5</v>
      </c>
      <c r="D160" s="755">
        <v>49.73</v>
      </c>
      <c r="E160" s="756">
        <f t="shared" si="35"/>
        <v>53.59668</v>
      </c>
      <c r="F160" s="757">
        <f t="shared" si="27"/>
        <v>63.244082399999996</v>
      </c>
      <c r="G160" s="718">
        <f t="shared" si="36"/>
        <v>70.88160929999998</v>
      </c>
      <c r="H160" s="744">
        <f t="shared" si="25"/>
        <v>83.64029897399998</v>
      </c>
      <c r="I160" s="718">
        <f t="shared" si="37"/>
        <v>115.63072864649459</v>
      </c>
      <c r="J160" s="744">
        <f t="shared" si="25"/>
        <v>136.4442598028636</v>
      </c>
      <c r="K160" s="758">
        <f t="shared" si="38"/>
        <v>1.6313220000000004</v>
      </c>
      <c r="N160" s="719">
        <f t="shared" si="32"/>
        <v>231.26145729298918</v>
      </c>
    </row>
    <row r="161" spans="1:14" s="719" customFormat="1" ht="12.75">
      <c r="A161" s="759" t="s">
        <v>1022</v>
      </c>
      <c r="B161" s="760" t="s">
        <v>1548</v>
      </c>
      <c r="C161" s="754">
        <v>0.5</v>
      </c>
      <c r="D161" s="755">
        <v>99.45</v>
      </c>
      <c r="E161" s="756">
        <f t="shared" si="35"/>
        <v>53.59668</v>
      </c>
      <c r="F161" s="757">
        <f t="shared" si="27"/>
        <v>63.244082399999996</v>
      </c>
      <c r="G161" s="718">
        <f t="shared" si="36"/>
        <v>70.88160929999998</v>
      </c>
      <c r="H161" s="744">
        <f t="shared" si="25"/>
        <v>83.64029897399998</v>
      </c>
      <c r="I161" s="718">
        <f t="shared" si="37"/>
        <v>115.63072864649459</v>
      </c>
      <c r="J161" s="744">
        <f t="shared" si="25"/>
        <v>136.4442598028636</v>
      </c>
      <c r="K161" s="758">
        <f t="shared" si="38"/>
        <v>1.6313220000000004</v>
      </c>
      <c r="N161" s="719">
        <f t="shared" si="32"/>
        <v>231.26145729298918</v>
      </c>
    </row>
    <row r="162" spans="1:14" ht="12.75">
      <c r="A162" s="498" t="s">
        <v>1023</v>
      </c>
      <c r="B162" s="499" t="s">
        <v>554</v>
      </c>
      <c r="C162" s="74">
        <v>1</v>
      </c>
      <c r="D162" s="38">
        <v>99.45</v>
      </c>
      <c r="E162" s="57">
        <f t="shared" si="35"/>
        <v>107.19336</v>
      </c>
      <c r="F162" s="32">
        <f t="shared" si="27"/>
        <v>126.48816479999999</v>
      </c>
      <c r="G162" s="80">
        <f t="shared" si="36"/>
        <v>141.76321859999996</v>
      </c>
      <c r="H162" s="19">
        <f t="shared" si="25"/>
        <v>167.28059794799995</v>
      </c>
      <c r="I162" s="80">
        <f t="shared" si="37"/>
        <v>231.26145729298918</v>
      </c>
      <c r="J162" s="19">
        <f t="shared" si="25"/>
        <v>272.8885196057272</v>
      </c>
      <c r="K162" s="94">
        <f t="shared" si="38"/>
        <v>1.6313220000000004</v>
      </c>
      <c r="N162">
        <f t="shared" si="32"/>
        <v>231.26145729298918</v>
      </c>
    </row>
    <row r="163" spans="1:14" s="111" customFormat="1" ht="12.75">
      <c r="A163" s="498" t="s">
        <v>1024</v>
      </c>
      <c r="B163" s="499" t="s">
        <v>881</v>
      </c>
      <c r="C163" s="74">
        <v>2.5</v>
      </c>
      <c r="D163" s="38">
        <v>248.63</v>
      </c>
      <c r="E163" s="57">
        <f t="shared" si="35"/>
        <v>267.9834</v>
      </c>
      <c r="F163" s="32">
        <f t="shared" si="27"/>
        <v>316.220412</v>
      </c>
      <c r="G163" s="80">
        <f t="shared" si="36"/>
        <v>354.40804649999995</v>
      </c>
      <c r="H163" s="19">
        <f t="shared" si="25"/>
        <v>418.2014948699999</v>
      </c>
      <c r="I163" s="80">
        <f t="shared" si="37"/>
        <v>578.1536432324731</v>
      </c>
      <c r="J163" s="19">
        <f t="shared" si="25"/>
        <v>682.2212990143182</v>
      </c>
      <c r="K163" s="94">
        <f t="shared" si="38"/>
        <v>1.6313220000000004</v>
      </c>
      <c r="L163"/>
      <c r="M163"/>
      <c r="N163">
        <f t="shared" si="32"/>
        <v>231.26145729298923</v>
      </c>
    </row>
    <row r="164" spans="1:14" ht="12.75">
      <c r="A164" s="498" t="s">
        <v>1025</v>
      </c>
      <c r="B164" s="499" t="s">
        <v>882</v>
      </c>
      <c r="C164" s="74">
        <v>2.5</v>
      </c>
      <c r="D164" s="38">
        <v>248.63</v>
      </c>
      <c r="E164" s="57">
        <f t="shared" si="35"/>
        <v>267.9834</v>
      </c>
      <c r="F164" s="32">
        <f t="shared" si="27"/>
        <v>316.220412</v>
      </c>
      <c r="G164" s="80">
        <f t="shared" si="36"/>
        <v>354.40804649999995</v>
      </c>
      <c r="H164" s="19">
        <f t="shared" si="25"/>
        <v>418.2014948699999</v>
      </c>
      <c r="I164" s="80">
        <f t="shared" si="37"/>
        <v>578.1536432324731</v>
      </c>
      <c r="J164" s="19">
        <f t="shared" si="25"/>
        <v>682.2212990143182</v>
      </c>
      <c r="K164" s="94">
        <f t="shared" si="38"/>
        <v>1.6313220000000004</v>
      </c>
      <c r="N164">
        <f t="shared" si="32"/>
        <v>231.26145729298923</v>
      </c>
    </row>
    <row r="165" spans="1:14" ht="12.75">
      <c r="A165" s="498" t="s">
        <v>1026</v>
      </c>
      <c r="B165" s="499" t="s">
        <v>1688</v>
      </c>
      <c r="C165" s="74">
        <v>0.5</v>
      </c>
      <c r="D165" s="38">
        <v>49.73</v>
      </c>
      <c r="E165" s="57">
        <f t="shared" si="35"/>
        <v>53.59668</v>
      </c>
      <c r="F165" s="32">
        <f t="shared" si="27"/>
        <v>63.244082399999996</v>
      </c>
      <c r="G165" s="80">
        <f t="shared" si="36"/>
        <v>70.88160929999998</v>
      </c>
      <c r="H165" s="19">
        <f t="shared" si="25"/>
        <v>83.64029897399998</v>
      </c>
      <c r="I165" s="80">
        <f t="shared" si="37"/>
        <v>115.63072864649459</v>
      </c>
      <c r="J165" s="19">
        <f t="shared" si="25"/>
        <v>136.4442598028636</v>
      </c>
      <c r="K165" s="94">
        <f t="shared" si="38"/>
        <v>1.6313220000000004</v>
      </c>
      <c r="N165">
        <f t="shared" si="32"/>
        <v>231.26145729298918</v>
      </c>
    </row>
    <row r="166" spans="1:14" ht="12.75">
      <c r="A166" s="498" t="s">
        <v>355</v>
      </c>
      <c r="B166" s="505" t="s">
        <v>1495</v>
      </c>
      <c r="C166" s="204"/>
      <c r="D166" s="40"/>
      <c r="E166" s="57"/>
      <c r="F166" s="32"/>
      <c r="G166" s="69"/>
      <c r="H166" s="32"/>
      <c r="I166" s="80"/>
      <c r="J166" s="32"/>
      <c r="K166" s="94"/>
      <c r="N166" t="e">
        <f t="shared" si="32"/>
        <v>#DIV/0!</v>
      </c>
    </row>
    <row r="167" spans="1:14" ht="12.75">
      <c r="A167" s="500" t="s">
        <v>367</v>
      </c>
      <c r="B167" s="506" t="s">
        <v>805</v>
      </c>
      <c r="C167" s="204">
        <v>3</v>
      </c>
      <c r="D167" s="39">
        <v>348.07</v>
      </c>
      <c r="E167" s="68">
        <f aca="true" t="shared" si="39" ref="E167:E194">C167*97.36*1.101</f>
        <v>321.58007999999995</v>
      </c>
      <c r="F167" s="32">
        <f t="shared" si="27"/>
        <v>379.4644943999999</v>
      </c>
      <c r="G167" s="80">
        <f t="shared" si="36"/>
        <v>425.2896557999998</v>
      </c>
      <c r="H167" s="19">
        <f t="shared" si="25"/>
        <v>501.84179384399977</v>
      </c>
      <c r="I167" s="80">
        <f aca="true" t="shared" si="40" ref="I167:I177">G167*1.2*1.05*1.07*1.1*1.1</f>
        <v>693.7843718789675</v>
      </c>
      <c r="J167" s="19">
        <f t="shared" si="25"/>
        <v>818.6655588171816</v>
      </c>
      <c r="K167" s="476">
        <f t="shared" si="38"/>
        <v>1.6313220000000004</v>
      </c>
      <c r="L167" s="477"/>
      <c r="M167" s="477"/>
      <c r="N167">
        <f t="shared" si="32"/>
        <v>231.26145729298915</v>
      </c>
    </row>
    <row r="168" spans="1:14" ht="12.75">
      <c r="A168" s="500" t="s">
        <v>368</v>
      </c>
      <c r="B168" s="506" t="s">
        <v>806</v>
      </c>
      <c r="C168" s="204">
        <v>1.7</v>
      </c>
      <c r="D168" s="39">
        <v>248.63</v>
      </c>
      <c r="E168" s="68">
        <f t="shared" si="39"/>
        <v>182.228712</v>
      </c>
      <c r="F168" s="32">
        <f t="shared" si="27"/>
        <v>215.02988016</v>
      </c>
      <c r="G168" s="80">
        <f t="shared" si="36"/>
        <v>240.99747161999997</v>
      </c>
      <c r="H168" s="19">
        <f t="shared" si="25"/>
        <v>284.37701651159995</v>
      </c>
      <c r="I168" s="80">
        <f t="shared" si="40"/>
        <v>393.14447739808156</v>
      </c>
      <c r="J168" s="19">
        <f t="shared" si="25"/>
        <v>463.9104833297362</v>
      </c>
      <c r="K168" s="476">
        <f t="shared" si="38"/>
        <v>1.631322</v>
      </c>
      <c r="L168" s="477"/>
      <c r="M168" s="477"/>
      <c r="N168">
        <f t="shared" si="32"/>
        <v>231.26145729298915</v>
      </c>
    </row>
    <row r="169" spans="1:14" ht="12.75">
      <c r="A169" s="500" t="s">
        <v>369</v>
      </c>
      <c r="B169" s="506" t="s">
        <v>807</v>
      </c>
      <c r="C169" s="204">
        <v>1.7</v>
      </c>
      <c r="D169" s="39">
        <v>248.63</v>
      </c>
      <c r="E169" s="68">
        <f t="shared" si="39"/>
        <v>182.228712</v>
      </c>
      <c r="F169" s="32">
        <f t="shared" si="27"/>
        <v>215.02988016</v>
      </c>
      <c r="G169" s="80">
        <f t="shared" si="36"/>
        <v>240.99747161999997</v>
      </c>
      <c r="H169" s="19">
        <f t="shared" si="25"/>
        <v>284.37701651159995</v>
      </c>
      <c r="I169" s="80">
        <f t="shared" si="40"/>
        <v>393.14447739808156</v>
      </c>
      <c r="J169" s="19">
        <f t="shared" si="25"/>
        <v>463.9104833297362</v>
      </c>
      <c r="K169" s="476">
        <f t="shared" si="38"/>
        <v>1.631322</v>
      </c>
      <c r="L169" s="477"/>
      <c r="M169" s="477"/>
      <c r="N169">
        <f t="shared" si="32"/>
        <v>231.26145729298915</v>
      </c>
    </row>
    <row r="170" spans="1:14" ht="12.75">
      <c r="A170" s="500" t="s">
        <v>370</v>
      </c>
      <c r="B170" s="506" t="s">
        <v>808</v>
      </c>
      <c r="C170" s="204">
        <v>2</v>
      </c>
      <c r="D170" s="39">
        <v>248.63</v>
      </c>
      <c r="E170" s="68">
        <f t="shared" si="39"/>
        <v>214.38672</v>
      </c>
      <c r="F170" s="32">
        <f t="shared" si="27"/>
        <v>252.97632959999999</v>
      </c>
      <c r="G170" s="80">
        <f t="shared" si="36"/>
        <v>283.5264371999999</v>
      </c>
      <c r="H170" s="19">
        <f t="shared" si="25"/>
        <v>334.5611958959999</v>
      </c>
      <c r="I170" s="80">
        <f t="shared" si="40"/>
        <v>462.52291458597836</v>
      </c>
      <c r="J170" s="19">
        <f t="shared" si="25"/>
        <v>545.7770392114544</v>
      </c>
      <c r="K170" s="476">
        <f t="shared" si="38"/>
        <v>1.6313220000000004</v>
      </c>
      <c r="L170" s="477"/>
      <c r="M170" s="477"/>
      <c r="N170">
        <f t="shared" si="32"/>
        <v>231.26145729298918</v>
      </c>
    </row>
    <row r="171" spans="1:14" ht="12.75">
      <c r="A171" s="500" t="s">
        <v>371</v>
      </c>
      <c r="B171" s="506" t="s">
        <v>2526</v>
      </c>
      <c r="C171" s="204">
        <v>2</v>
      </c>
      <c r="D171" s="39">
        <v>248.63</v>
      </c>
      <c r="E171" s="68">
        <f t="shared" si="39"/>
        <v>214.38672</v>
      </c>
      <c r="F171" s="32">
        <f t="shared" si="27"/>
        <v>252.97632959999999</v>
      </c>
      <c r="G171" s="80">
        <f t="shared" si="36"/>
        <v>283.5264371999999</v>
      </c>
      <c r="H171" s="19">
        <f t="shared" si="25"/>
        <v>334.5611958959999</v>
      </c>
      <c r="I171" s="80">
        <f t="shared" si="40"/>
        <v>462.52291458597836</v>
      </c>
      <c r="J171" s="19">
        <f t="shared" si="25"/>
        <v>545.7770392114544</v>
      </c>
      <c r="K171" s="476">
        <f t="shared" si="38"/>
        <v>1.6313220000000004</v>
      </c>
      <c r="L171" s="477"/>
      <c r="M171" s="477"/>
      <c r="N171">
        <f t="shared" si="32"/>
        <v>231.26145729298918</v>
      </c>
    </row>
    <row r="172" spans="1:14" ht="12.75">
      <c r="A172" s="500" t="s">
        <v>372</v>
      </c>
      <c r="B172" s="506" t="s">
        <v>809</v>
      </c>
      <c r="C172" s="204">
        <v>2</v>
      </c>
      <c r="D172" s="39">
        <v>248.63</v>
      </c>
      <c r="E172" s="68">
        <f t="shared" si="39"/>
        <v>214.38672</v>
      </c>
      <c r="F172" s="32">
        <f t="shared" si="27"/>
        <v>252.97632959999999</v>
      </c>
      <c r="G172" s="80">
        <f t="shared" si="36"/>
        <v>283.5264371999999</v>
      </c>
      <c r="H172" s="19">
        <f t="shared" si="25"/>
        <v>334.5611958959999</v>
      </c>
      <c r="I172" s="80">
        <f t="shared" si="40"/>
        <v>462.52291458597836</v>
      </c>
      <c r="J172" s="19">
        <f t="shared" si="25"/>
        <v>545.7770392114544</v>
      </c>
      <c r="K172" s="94">
        <f t="shared" si="38"/>
        <v>1.6313220000000004</v>
      </c>
      <c r="N172">
        <f t="shared" si="32"/>
        <v>231.26145729298918</v>
      </c>
    </row>
    <row r="173" spans="1:14" ht="12.75">
      <c r="A173" s="500" t="s">
        <v>373</v>
      </c>
      <c r="B173" s="506" t="s">
        <v>2528</v>
      </c>
      <c r="C173" s="204">
        <v>2</v>
      </c>
      <c r="D173" s="39">
        <v>248.63</v>
      </c>
      <c r="E173" s="68">
        <f t="shared" si="39"/>
        <v>214.38672</v>
      </c>
      <c r="F173" s="32">
        <f t="shared" si="27"/>
        <v>252.97632959999999</v>
      </c>
      <c r="G173" s="80">
        <f t="shared" si="36"/>
        <v>283.5264371999999</v>
      </c>
      <c r="H173" s="19">
        <f t="shared" si="25"/>
        <v>334.5611958959999</v>
      </c>
      <c r="I173" s="80">
        <f t="shared" si="40"/>
        <v>462.52291458597836</v>
      </c>
      <c r="J173" s="19">
        <f t="shared" si="25"/>
        <v>545.7770392114544</v>
      </c>
      <c r="K173" s="94">
        <f t="shared" si="38"/>
        <v>1.6313220000000004</v>
      </c>
      <c r="N173">
        <f t="shared" si="32"/>
        <v>231.26145729298918</v>
      </c>
    </row>
    <row r="174" spans="1:14" ht="12.75">
      <c r="A174" s="500" t="s">
        <v>374</v>
      </c>
      <c r="B174" s="506" t="s">
        <v>810</v>
      </c>
      <c r="C174" s="204">
        <v>2</v>
      </c>
      <c r="D174" s="39">
        <v>198.9</v>
      </c>
      <c r="E174" s="68">
        <f t="shared" si="39"/>
        <v>214.38672</v>
      </c>
      <c r="F174" s="32">
        <f t="shared" si="27"/>
        <v>252.97632959999999</v>
      </c>
      <c r="G174" s="80">
        <f t="shared" si="36"/>
        <v>283.5264371999999</v>
      </c>
      <c r="H174" s="19">
        <f t="shared" si="25"/>
        <v>334.5611958959999</v>
      </c>
      <c r="I174" s="80">
        <f t="shared" si="40"/>
        <v>462.52291458597836</v>
      </c>
      <c r="J174" s="19">
        <f t="shared" si="25"/>
        <v>545.7770392114544</v>
      </c>
      <c r="K174" s="94">
        <f t="shared" si="38"/>
        <v>1.6313220000000004</v>
      </c>
      <c r="N174">
        <f t="shared" si="32"/>
        <v>231.26145729298918</v>
      </c>
    </row>
    <row r="175" spans="1:14" ht="12.75">
      <c r="A175" s="500" t="s">
        <v>375</v>
      </c>
      <c r="B175" s="506" t="s">
        <v>811</v>
      </c>
      <c r="C175" s="204">
        <v>1.7</v>
      </c>
      <c r="D175" s="39">
        <v>298.35</v>
      </c>
      <c r="E175" s="68">
        <f t="shared" si="39"/>
        <v>182.228712</v>
      </c>
      <c r="F175" s="32">
        <f t="shared" si="27"/>
        <v>215.02988016</v>
      </c>
      <c r="G175" s="80">
        <f t="shared" si="36"/>
        <v>240.99747161999997</v>
      </c>
      <c r="H175" s="19">
        <f t="shared" si="25"/>
        <v>284.37701651159995</v>
      </c>
      <c r="I175" s="80">
        <f t="shared" si="40"/>
        <v>393.14447739808156</v>
      </c>
      <c r="J175" s="19">
        <f t="shared" si="25"/>
        <v>463.9104833297362</v>
      </c>
      <c r="K175" s="94">
        <f t="shared" si="38"/>
        <v>1.631322</v>
      </c>
      <c r="N175">
        <f t="shared" si="32"/>
        <v>231.26145729298915</v>
      </c>
    </row>
    <row r="176" spans="1:14" ht="25.5">
      <c r="A176" s="500" t="s">
        <v>356</v>
      </c>
      <c r="B176" s="499" t="s">
        <v>711</v>
      </c>
      <c r="C176" s="204">
        <v>0.5</v>
      </c>
      <c r="D176" s="39">
        <v>49.73</v>
      </c>
      <c r="E176" s="68">
        <f t="shared" si="39"/>
        <v>53.59668</v>
      </c>
      <c r="F176" s="32">
        <f t="shared" si="27"/>
        <v>63.244082399999996</v>
      </c>
      <c r="G176" s="80">
        <f t="shared" si="36"/>
        <v>70.88160929999998</v>
      </c>
      <c r="H176" s="19">
        <f t="shared" si="25"/>
        <v>83.64029897399998</v>
      </c>
      <c r="I176" s="80">
        <f t="shared" si="40"/>
        <v>115.63072864649459</v>
      </c>
      <c r="J176" s="19">
        <f t="shared" si="25"/>
        <v>136.4442598028636</v>
      </c>
      <c r="K176" s="94">
        <f t="shared" si="38"/>
        <v>1.6313220000000004</v>
      </c>
      <c r="N176">
        <f t="shared" si="32"/>
        <v>231.26145729298918</v>
      </c>
    </row>
    <row r="177" spans="1:14" ht="38.25">
      <c r="A177" s="500" t="s">
        <v>357</v>
      </c>
      <c r="B177" s="499" t="s">
        <v>712</v>
      </c>
      <c r="C177" s="204">
        <v>4</v>
      </c>
      <c r="D177" s="39">
        <v>397.8</v>
      </c>
      <c r="E177" s="68">
        <f t="shared" si="39"/>
        <v>428.77344</v>
      </c>
      <c r="F177" s="32">
        <f t="shared" si="27"/>
        <v>505.95265919999997</v>
      </c>
      <c r="G177" s="80">
        <f t="shared" si="36"/>
        <v>567.0528743999998</v>
      </c>
      <c r="H177" s="19">
        <f t="shared" si="25"/>
        <v>669.1223917919998</v>
      </c>
      <c r="I177" s="80">
        <f t="shared" si="40"/>
        <v>925.0458291719567</v>
      </c>
      <c r="J177" s="19">
        <f t="shared" si="25"/>
        <v>1091.5540784229088</v>
      </c>
      <c r="K177" s="476">
        <f t="shared" si="38"/>
        <v>1.6313220000000004</v>
      </c>
      <c r="L177" s="477"/>
      <c r="M177" s="477"/>
      <c r="N177">
        <f t="shared" si="32"/>
        <v>231.26145729298918</v>
      </c>
    </row>
    <row r="178" spans="1:14" ht="25.5">
      <c r="A178" s="500" t="s">
        <v>358</v>
      </c>
      <c r="B178" s="499" t="s">
        <v>401</v>
      </c>
      <c r="C178" s="204"/>
      <c r="D178" s="40"/>
      <c r="E178" s="68"/>
      <c r="F178" s="32"/>
      <c r="G178" s="80"/>
      <c r="H178" s="19"/>
      <c r="I178" s="80"/>
      <c r="J178" s="19"/>
      <c r="K178" s="94"/>
      <c r="N178" t="e">
        <f t="shared" si="32"/>
        <v>#DIV/0!</v>
      </c>
    </row>
    <row r="179" spans="1:14" ht="12.75">
      <c r="A179" s="500" t="s">
        <v>376</v>
      </c>
      <c r="B179" s="499" t="s">
        <v>538</v>
      </c>
      <c r="C179" s="204" t="s">
        <v>1695</v>
      </c>
      <c r="D179" s="39" t="s">
        <v>539</v>
      </c>
      <c r="E179" s="68">
        <f t="shared" si="39"/>
        <v>182.228712</v>
      </c>
      <c r="F179" s="32">
        <f t="shared" si="27"/>
        <v>215.02988016</v>
      </c>
      <c r="G179" s="80">
        <f t="shared" si="36"/>
        <v>240.99747161999997</v>
      </c>
      <c r="H179" s="19">
        <f t="shared" si="25"/>
        <v>284.37701651159995</v>
      </c>
      <c r="I179" s="80">
        <f aca="true" t="shared" si="41" ref="I179:I191">G179*1.2*1.05*1.07*1.1*1.1</f>
        <v>393.14447739808156</v>
      </c>
      <c r="J179" s="19">
        <f t="shared" si="25"/>
        <v>463.9104833297362</v>
      </c>
      <c r="K179" s="470">
        <f t="shared" si="38"/>
        <v>1.631322</v>
      </c>
      <c r="L179" s="471"/>
      <c r="M179" s="471"/>
      <c r="N179">
        <f t="shared" si="32"/>
        <v>231.26145729298915</v>
      </c>
    </row>
    <row r="180" spans="1:14" ht="12.75">
      <c r="A180" s="500" t="s">
        <v>377</v>
      </c>
      <c r="B180" s="499" t="s">
        <v>540</v>
      </c>
      <c r="C180" s="204" t="s">
        <v>1684</v>
      </c>
      <c r="D180" s="39" t="s">
        <v>1685</v>
      </c>
      <c r="E180" s="68">
        <f t="shared" si="39"/>
        <v>321.58007999999995</v>
      </c>
      <c r="F180" s="32">
        <f t="shared" si="27"/>
        <v>379.4644943999999</v>
      </c>
      <c r="G180" s="80">
        <f t="shared" si="36"/>
        <v>425.2896557999998</v>
      </c>
      <c r="H180" s="19">
        <f aca="true" t="shared" si="42" ref="H180:H191">G180*1.18</f>
        <v>501.84179384399977</v>
      </c>
      <c r="I180" s="80">
        <f t="shared" si="41"/>
        <v>693.7843718789675</v>
      </c>
      <c r="J180" s="19">
        <f aca="true" t="shared" si="43" ref="J180:J192">I180*1.18</f>
        <v>818.6655588171816</v>
      </c>
      <c r="K180" s="470">
        <f t="shared" si="38"/>
        <v>1.6313220000000004</v>
      </c>
      <c r="L180" s="471"/>
      <c r="M180" s="471"/>
      <c r="N180">
        <f t="shared" si="32"/>
        <v>231.26145729298915</v>
      </c>
    </row>
    <row r="181" spans="1:14" ht="12.75">
      <c r="A181" s="500" t="s">
        <v>378</v>
      </c>
      <c r="B181" s="499" t="s">
        <v>541</v>
      </c>
      <c r="C181" s="204" t="s">
        <v>2508</v>
      </c>
      <c r="D181" s="39" t="s">
        <v>2509</v>
      </c>
      <c r="E181" s="68">
        <f t="shared" si="39"/>
        <v>214.38672</v>
      </c>
      <c r="F181" s="32">
        <f t="shared" si="27"/>
        <v>252.97632959999999</v>
      </c>
      <c r="G181" s="80">
        <f t="shared" si="36"/>
        <v>283.5264371999999</v>
      </c>
      <c r="H181" s="19">
        <f t="shared" si="42"/>
        <v>334.5611958959999</v>
      </c>
      <c r="I181" s="80">
        <f t="shared" si="41"/>
        <v>462.52291458597836</v>
      </c>
      <c r="J181" s="19">
        <f t="shared" si="43"/>
        <v>545.7770392114544</v>
      </c>
      <c r="K181" s="94">
        <f t="shared" si="38"/>
        <v>1.6313220000000004</v>
      </c>
      <c r="N181">
        <f t="shared" si="32"/>
        <v>231.26145729298918</v>
      </c>
    </row>
    <row r="182" spans="1:14" ht="12.75">
      <c r="A182" s="500" t="s">
        <v>379</v>
      </c>
      <c r="B182" s="499" t="s">
        <v>542</v>
      </c>
      <c r="C182" s="204" t="s">
        <v>2508</v>
      </c>
      <c r="D182" s="39">
        <v>198.9</v>
      </c>
      <c r="E182" s="68">
        <f t="shared" si="39"/>
        <v>214.38672</v>
      </c>
      <c r="F182" s="32">
        <f t="shared" si="27"/>
        <v>252.97632959999999</v>
      </c>
      <c r="G182" s="80">
        <f t="shared" si="36"/>
        <v>283.5264371999999</v>
      </c>
      <c r="H182" s="19">
        <f t="shared" si="42"/>
        <v>334.5611958959999</v>
      </c>
      <c r="I182" s="80">
        <f t="shared" si="41"/>
        <v>462.52291458597836</v>
      </c>
      <c r="J182" s="19">
        <f t="shared" si="43"/>
        <v>545.7770392114544</v>
      </c>
      <c r="K182" s="94">
        <f t="shared" si="38"/>
        <v>1.6313220000000004</v>
      </c>
      <c r="N182">
        <f t="shared" si="32"/>
        <v>231.26145729298918</v>
      </c>
    </row>
    <row r="183" spans="1:14" ht="12.75">
      <c r="A183" s="500" t="s">
        <v>380</v>
      </c>
      <c r="B183" s="499" t="s">
        <v>543</v>
      </c>
      <c r="C183" s="204" t="s">
        <v>1695</v>
      </c>
      <c r="D183" s="39">
        <v>169.06</v>
      </c>
      <c r="E183" s="68">
        <f t="shared" si="39"/>
        <v>182.228712</v>
      </c>
      <c r="F183" s="32">
        <f t="shared" si="27"/>
        <v>215.02988016</v>
      </c>
      <c r="G183" s="80">
        <f t="shared" si="36"/>
        <v>240.99747161999997</v>
      </c>
      <c r="H183" s="19">
        <f t="shared" si="42"/>
        <v>284.37701651159995</v>
      </c>
      <c r="I183" s="80">
        <f t="shared" si="41"/>
        <v>393.14447739808156</v>
      </c>
      <c r="J183" s="19">
        <f t="shared" si="43"/>
        <v>463.9104833297362</v>
      </c>
      <c r="K183" s="94">
        <f t="shared" si="38"/>
        <v>1.631322</v>
      </c>
      <c r="N183">
        <f t="shared" si="32"/>
        <v>231.26145729298915</v>
      </c>
    </row>
    <row r="184" spans="1:14" ht="12.75">
      <c r="A184" s="500" t="s">
        <v>381</v>
      </c>
      <c r="B184" s="499" t="s">
        <v>544</v>
      </c>
      <c r="C184" s="204" t="s">
        <v>1684</v>
      </c>
      <c r="D184" s="39" t="s">
        <v>1685</v>
      </c>
      <c r="E184" s="68">
        <f t="shared" si="39"/>
        <v>321.58007999999995</v>
      </c>
      <c r="F184" s="32">
        <f t="shared" si="27"/>
        <v>379.4644943999999</v>
      </c>
      <c r="G184" s="80">
        <f t="shared" si="36"/>
        <v>425.2896557999998</v>
      </c>
      <c r="H184" s="19">
        <f t="shared" si="42"/>
        <v>501.84179384399977</v>
      </c>
      <c r="I184" s="80">
        <f t="shared" si="41"/>
        <v>693.7843718789675</v>
      </c>
      <c r="J184" s="19">
        <f t="shared" si="43"/>
        <v>818.6655588171816</v>
      </c>
      <c r="K184" s="94">
        <f t="shared" si="38"/>
        <v>1.6313220000000004</v>
      </c>
      <c r="N184">
        <f t="shared" si="32"/>
        <v>231.26145729298915</v>
      </c>
    </row>
    <row r="185" spans="1:14" ht="51">
      <c r="A185" s="508" t="s">
        <v>359</v>
      </c>
      <c r="B185" s="499" t="s">
        <v>707</v>
      </c>
      <c r="C185" s="204">
        <v>1.2</v>
      </c>
      <c r="D185" s="39" t="s">
        <v>1963</v>
      </c>
      <c r="E185" s="68">
        <f>C185*97.36*1.101</f>
        <v>128.63203199999998</v>
      </c>
      <c r="F185" s="32">
        <f t="shared" si="27"/>
        <v>151.78579775999998</v>
      </c>
      <c r="G185" s="80">
        <f t="shared" si="36"/>
        <v>170.11586231999993</v>
      </c>
      <c r="H185" s="76">
        <f t="shared" si="42"/>
        <v>200.7367175375999</v>
      </c>
      <c r="I185" s="80">
        <f t="shared" si="41"/>
        <v>277.513748751587</v>
      </c>
      <c r="J185" s="76">
        <f t="shared" si="43"/>
        <v>327.4662235268726</v>
      </c>
      <c r="K185" s="470">
        <f t="shared" si="38"/>
        <v>1.6313220000000004</v>
      </c>
      <c r="L185" s="471"/>
      <c r="M185" s="471"/>
      <c r="N185">
        <f t="shared" si="32"/>
        <v>231.26145729298918</v>
      </c>
    </row>
    <row r="186" spans="1:14" s="111" customFormat="1" ht="12.75">
      <c r="A186" s="500" t="s">
        <v>360</v>
      </c>
      <c r="B186" s="499" t="s">
        <v>545</v>
      </c>
      <c r="C186" s="204" t="s">
        <v>1057</v>
      </c>
      <c r="D186" s="39" t="s">
        <v>1058</v>
      </c>
      <c r="E186" s="68">
        <f t="shared" si="39"/>
        <v>53.59668</v>
      </c>
      <c r="F186" s="32">
        <f t="shared" si="27"/>
        <v>63.244082399999996</v>
      </c>
      <c r="G186" s="80">
        <f t="shared" si="36"/>
        <v>70.88160929999998</v>
      </c>
      <c r="H186" s="19">
        <f t="shared" si="42"/>
        <v>83.64029897399998</v>
      </c>
      <c r="I186" s="80">
        <f t="shared" si="41"/>
        <v>115.63072864649459</v>
      </c>
      <c r="J186" s="19">
        <f t="shared" si="43"/>
        <v>136.4442598028636</v>
      </c>
      <c r="K186" s="94">
        <f t="shared" si="38"/>
        <v>1.6313220000000004</v>
      </c>
      <c r="L186"/>
      <c r="M186"/>
      <c r="N186">
        <f t="shared" si="32"/>
        <v>231.26145729298918</v>
      </c>
    </row>
    <row r="187" spans="1:14" ht="25.5" customHeight="1">
      <c r="A187" s="500" t="s">
        <v>361</v>
      </c>
      <c r="B187" s="499" t="s">
        <v>1489</v>
      </c>
      <c r="C187" s="204" t="s">
        <v>1054</v>
      </c>
      <c r="D187" s="39" t="s">
        <v>1055</v>
      </c>
      <c r="E187" s="68">
        <f t="shared" si="39"/>
        <v>107.19336</v>
      </c>
      <c r="F187" s="32">
        <f>E187*1.18</f>
        <v>126.48816479999999</v>
      </c>
      <c r="G187" s="80">
        <f t="shared" si="36"/>
        <v>141.76321859999996</v>
      </c>
      <c r="H187" s="19">
        <f t="shared" si="42"/>
        <v>167.28059794799995</v>
      </c>
      <c r="I187" s="80">
        <f t="shared" si="41"/>
        <v>231.26145729298918</v>
      </c>
      <c r="J187" s="19">
        <f t="shared" si="43"/>
        <v>272.8885196057272</v>
      </c>
      <c r="K187" s="94">
        <f t="shared" si="38"/>
        <v>1.6313220000000004</v>
      </c>
      <c r="N187">
        <f t="shared" si="32"/>
        <v>231.26145729298918</v>
      </c>
    </row>
    <row r="188" spans="1:14" ht="25.5">
      <c r="A188" s="500" t="s">
        <v>362</v>
      </c>
      <c r="B188" s="499" t="s">
        <v>1490</v>
      </c>
      <c r="C188" s="204" t="s">
        <v>2371</v>
      </c>
      <c r="D188" s="39" t="s">
        <v>2372</v>
      </c>
      <c r="E188" s="68">
        <f t="shared" si="39"/>
        <v>85.754688</v>
      </c>
      <c r="F188" s="32">
        <f>E188*1.18</f>
        <v>101.19053183999999</v>
      </c>
      <c r="G188" s="80">
        <f t="shared" si="36"/>
        <v>113.41057487999998</v>
      </c>
      <c r="H188" s="19">
        <f t="shared" si="42"/>
        <v>133.82447835839997</v>
      </c>
      <c r="I188" s="80">
        <f t="shared" si="41"/>
        <v>185.00916583439135</v>
      </c>
      <c r="J188" s="19">
        <f t="shared" si="43"/>
        <v>218.3108156845818</v>
      </c>
      <c r="K188" s="94">
        <f t="shared" si="38"/>
        <v>1.6313220000000002</v>
      </c>
      <c r="N188">
        <f t="shared" si="32"/>
        <v>231.26145729298918</v>
      </c>
    </row>
    <row r="189" spans="1:14" ht="12.75">
      <c r="A189" s="500" t="s">
        <v>363</v>
      </c>
      <c r="B189" s="499" t="s">
        <v>1688</v>
      </c>
      <c r="C189" s="204">
        <v>0.5</v>
      </c>
      <c r="D189" s="39" t="s">
        <v>1055</v>
      </c>
      <c r="E189" s="68">
        <f t="shared" si="39"/>
        <v>53.59668</v>
      </c>
      <c r="F189" s="32">
        <f>E189*1.18</f>
        <v>63.244082399999996</v>
      </c>
      <c r="G189" s="80">
        <f t="shared" si="36"/>
        <v>70.88160929999998</v>
      </c>
      <c r="H189" s="19">
        <f t="shared" si="42"/>
        <v>83.64029897399998</v>
      </c>
      <c r="I189" s="80">
        <f t="shared" si="41"/>
        <v>115.63072864649459</v>
      </c>
      <c r="J189" s="19">
        <f t="shared" si="43"/>
        <v>136.4442598028636</v>
      </c>
      <c r="K189" s="94">
        <f t="shared" si="38"/>
        <v>1.6313220000000004</v>
      </c>
      <c r="N189">
        <f t="shared" si="32"/>
        <v>231.26145729298918</v>
      </c>
    </row>
    <row r="190" spans="1:14" ht="12.75">
      <c r="A190" s="500" t="s">
        <v>364</v>
      </c>
      <c r="B190" s="499" t="s">
        <v>1961</v>
      </c>
      <c r="C190" s="204">
        <v>1</v>
      </c>
      <c r="D190" s="39"/>
      <c r="E190" s="68">
        <f>C190*97.36*1.101</f>
        <v>107.19336</v>
      </c>
      <c r="F190" s="32">
        <f>E190*1.18</f>
        <v>126.48816479999999</v>
      </c>
      <c r="G190" s="80">
        <f t="shared" si="36"/>
        <v>141.76321859999996</v>
      </c>
      <c r="H190" s="19">
        <f t="shared" si="42"/>
        <v>167.28059794799995</v>
      </c>
      <c r="I190" s="80">
        <f t="shared" si="41"/>
        <v>231.26145729298918</v>
      </c>
      <c r="J190" s="19">
        <f t="shared" si="43"/>
        <v>272.8885196057272</v>
      </c>
      <c r="K190" s="94">
        <f t="shared" si="38"/>
        <v>1.6313220000000004</v>
      </c>
      <c r="N190">
        <f t="shared" si="32"/>
        <v>231.26145729298918</v>
      </c>
    </row>
    <row r="191" spans="1:14" ht="25.5">
      <c r="A191" s="500" t="s">
        <v>365</v>
      </c>
      <c r="B191" s="499" t="s">
        <v>706</v>
      </c>
      <c r="C191" s="204">
        <v>3.5</v>
      </c>
      <c r="D191" s="39">
        <v>546.9</v>
      </c>
      <c r="E191" s="68">
        <f t="shared" si="39"/>
        <v>375.17676</v>
      </c>
      <c r="F191" s="32">
        <f>E191*1.18</f>
        <v>442.7085768</v>
      </c>
      <c r="G191" s="80">
        <f t="shared" si="36"/>
        <v>496.1712650999999</v>
      </c>
      <c r="H191" s="19">
        <f t="shared" si="42"/>
        <v>585.4820928179998</v>
      </c>
      <c r="I191" s="80">
        <f t="shared" si="41"/>
        <v>809.4151005254622</v>
      </c>
      <c r="J191" s="19">
        <f t="shared" si="43"/>
        <v>955.1098186200453</v>
      </c>
      <c r="K191" s="94">
        <f t="shared" si="38"/>
        <v>1.6313220000000004</v>
      </c>
      <c r="N191">
        <f t="shared" si="32"/>
        <v>231.2614572929892</v>
      </c>
    </row>
    <row r="192" spans="1:14" ht="38.25">
      <c r="A192" s="483" t="s">
        <v>366</v>
      </c>
      <c r="B192" s="482" t="s">
        <v>3037</v>
      </c>
      <c r="C192" s="207">
        <v>3.5</v>
      </c>
      <c r="D192" s="19">
        <v>669.95</v>
      </c>
      <c r="E192" s="19">
        <v>789.36</v>
      </c>
      <c r="F192" s="32"/>
      <c r="G192" s="19"/>
      <c r="H192" s="19"/>
      <c r="I192" s="502">
        <f>735.83*1.1</f>
        <v>809.4130000000001</v>
      </c>
      <c r="J192" s="19">
        <f t="shared" si="43"/>
        <v>955.1073400000001</v>
      </c>
      <c r="K192" s="94"/>
      <c r="N192">
        <f t="shared" si="32"/>
        <v>231.2608571428572</v>
      </c>
    </row>
    <row r="193" spans="1:14" ht="12.75">
      <c r="A193" s="481" t="s">
        <v>366</v>
      </c>
      <c r="B193" s="482" t="s">
        <v>3072</v>
      </c>
      <c r="C193" s="209">
        <v>2</v>
      </c>
      <c r="D193" s="474">
        <v>546.9</v>
      </c>
      <c r="E193" s="59">
        <f>C193*97.36*1.101</f>
        <v>214.38672</v>
      </c>
      <c r="F193" s="32">
        <f>E193*1.18</f>
        <v>252.97632959999999</v>
      </c>
      <c r="G193" s="19">
        <f>E193*1.15*1.15</f>
        <v>283.5264371999999</v>
      </c>
      <c r="H193" s="19">
        <f>G193*1.18</f>
        <v>334.5611958959999</v>
      </c>
      <c r="I193" s="19">
        <f>G193*1.2*1.05*1.07*1.1*1.1</f>
        <v>462.52291458597836</v>
      </c>
      <c r="J193" s="19">
        <f>I193*1.18</f>
        <v>545.7770392114544</v>
      </c>
      <c r="K193" s="478">
        <f t="shared" si="38"/>
        <v>1.6313220000000004</v>
      </c>
      <c r="L193" s="479"/>
      <c r="M193" s="479"/>
      <c r="N193">
        <f t="shared" si="32"/>
        <v>231.26145729298918</v>
      </c>
    </row>
    <row r="194" spans="1:14" ht="51">
      <c r="A194" s="473" t="s">
        <v>3073</v>
      </c>
      <c r="B194" s="472" t="s">
        <v>3074</v>
      </c>
      <c r="C194" s="209">
        <v>5.3</v>
      </c>
      <c r="D194" s="116"/>
      <c r="E194" s="59">
        <f t="shared" si="39"/>
        <v>568.1248079999999</v>
      </c>
      <c r="F194" s="32">
        <f>E194*1.18</f>
        <v>670.3872734399998</v>
      </c>
      <c r="G194" s="19">
        <v>1035.26</v>
      </c>
      <c r="H194" s="19">
        <f>G194*1.18</f>
        <v>1221.6068</v>
      </c>
      <c r="I194" s="19">
        <f>844.14*1.1*1.1</f>
        <v>1021.4094000000002</v>
      </c>
      <c r="J194" s="19">
        <f>I194*1.18</f>
        <v>1205.2630920000001</v>
      </c>
      <c r="K194" s="476"/>
      <c r="L194" s="477"/>
      <c r="M194" s="477"/>
      <c r="N194">
        <f t="shared" si="32"/>
        <v>192.71875471698118</v>
      </c>
    </row>
    <row r="195" spans="1:14" ht="25.5">
      <c r="A195" s="459"/>
      <c r="B195" s="472" t="s">
        <v>3075</v>
      </c>
      <c r="C195" s="209">
        <v>3.5</v>
      </c>
      <c r="D195" s="116"/>
      <c r="E195" s="59"/>
      <c r="F195" s="32"/>
      <c r="G195" s="19"/>
      <c r="H195" s="19"/>
      <c r="I195" s="19">
        <f>557.45*1.1*1.1</f>
        <v>674.5145000000001</v>
      </c>
      <c r="J195" s="19">
        <f aca="true" t="shared" si="44" ref="J195:J217">I195*1.18</f>
        <v>795.9271100000001</v>
      </c>
      <c r="K195" s="476"/>
      <c r="L195" s="477"/>
      <c r="M195" s="477"/>
      <c r="N195">
        <f t="shared" si="32"/>
        <v>192.7184285714286</v>
      </c>
    </row>
    <row r="196" spans="1:14" ht="25.5">
      <c r="A196" s="459"/>
      <c r="B196" s="472" t="s">
        <v>3076</v>
      </c>
      <c r="C196" s="209">
        <v>3.8</v>
      </c>
      <c r="D196" s="116"/>
      <c r="E196" s="59"/>
      <c r="F196" s="32"/>
      <c r="G196" s="19"/>
      <c r="H196" s="19"/>
      <c r="I196" s="19">
        <f>605.23*1.1*1.1</f>
        <v>732.3283000000001</v>
      </c>
      <c r="J196" s="19">
        <f t="shared" si="44"/>
        <v>864.1473940000001</v>
      </c>
      <c r="K196" s="476"/>
      <c r="L196" s="477"/>
      <c r="M196" s="477"/>
      <c r="N196">
        <f t="shared" si="32"/>
        <v>192.71797368421056</v>
      </c>
    </row>
    <row r="197" spans="1:14" ht="25.5">
      <c r="A197" s="459"/>
      <c r="B197" s="472" t="s">
        <v>3077</v>
      </c>
      <c r="C197" s="209">
        <v>4.1</v>
      </c>
      <c r="D197" s="116"/>
      <c r="E197" s="59"/>
      <c r="F197" s="32"/>
      <c r="G197" s="19"/>
      <c r="H197" s="19"/>
      <c r="I197" s="19">
        <f>653.01*1.1*1.1</f>
        <v>790.1421000000001</v>
      </c>
      <c r="J197" s="19">
        <f t="shared" si="44"/>
        <v>932.3676780000001</v>
      </c>
      <c r="K197" s="476"/>
      <c r="L197" s="477"/>
      <c r="M197" s="477"/>
      <c r="N197">
        <f t="shared" si="32"/>
        <v>192.71758536585372</v>
      </c>
    </row>
    <row r="198" spans="1:14" ht="25.5">
      <c r="A198" s="459"/>
      <c r="B198" s="472" t="s">
        <v>3078</v>
      </c>
      <c r="C198" s="209">
        <v>4.4</v>
      </c>
      <c r="D198" s="116"/>
      <c r="E198" s="59"/>
      <c r="F198" s="32"/>
      <c r="G198" s="19"/>
      <c r="H198" s="19"/>
      <c r="I198" s="19">
        <f>700.79*1.1*1.1</f>
        <v>847.9559000000002</v>
      </c>
      <c r="J198" s="19">
        <f t="shared" si="44"/>
        <v>1000.5879620000002</v>
      </c>
      <c r="K198" s="476"/>
      <c r="L198" s="477"/>
      <c r="M198" s="477"/>
      <c r="N198">
        <f t="shared" si="32"/>
        <v>192.71725</v>
      </c>
    </row>
    <row r="199" spans="1:14" ht="25.5">
      <c r="A199" s="459"/>
      <c r="B199" s="472" t="s">
        <v>3079</v>
      </c>
      <c r="C199" s="209">
        <v>4.7</v>
      </c>
      <c r="D199" s="116"/>
      <c r="E199" s="59"/>
      <c r="F199" s="32"/>
      <c r="G199" s="19"/>
      <c r="H199" s="19"/>
      <c r="I199" s="19">
        <f>748.57*1.1*1.1</f>
        <v>905.7697000000002</v>
      </c>
      <c r="J199" s="19">
        <f t="shared" si="44"/>
        <v>1068.808246</v>
      </c>
      <c r="K199" s="476"/>
      <c r="L199" s="477"/>
      <c r="M199" s="477"/>
      <c r="N199">
        <f t="shared" si="32"/>
        <v>192.71695744680855</v>
      </c>
    </row>
    <row r="200" spans="1:14" ht="25.5">
      <c r="A200" s="459"/>
      <c r="B200" s="472" t="s">
        <v>3080</v>
      </c>
      <c r="C200" s="209">
        <v>5</v>
      </c>
      <c r="D200" s="116"/>
      <c r="E200" s="59"/>
      <c r="F200" s="32"/>
      <c r="G200" s="19"/>
      <c r="H200" s="19"/>
      <c r="I200" s="19">
        <f>796.35*1.1*1.1</f>
        <v>963.5835000000002</v>
      </c>
      <c r="J200" s="19">
        <f t="shared" si="44"/>
        <v>1137.02853</v>
      </c>
      <c r="K200" s="476"/>
      <c r="L200" s="477"/>
      <c r="M200" s="477"/>
      <c r="N200">
        <f t="shared" si="32"/>
        <v>192.71670000000003</v>
      </c>
    </row>
    <row r="201" spans="1:14" ht="25.5">
      <c r="A201" s="459"/>
      <c r="B201" s="472" t="s">
        <v>3081</v>
      </c>
      <c r="C201" s="209">
        <v>5.3</v>
      </c>
      <c r="D201" s="116"/>
      <c r="E201" s="59"/>
      <c r="F201" s="32"/>
      <c r="G201" s="19"/>
      <c r="H201" s="19"/>
      <c r="I201" s="19">
        <f>844.14*1.1*1.1</f>
        <v>1021.4094000000002</v>
      </c>
      <c r="J201" s="19">
        <f t="shared" si="44"/>
        <v>1205.2630920000001</v>
      </c>
      <c r="K201" s="476"/>
      <c r="L201" s="477"/>
      <c r="M201" s="477"/>
      <c r="N201">
        <f t="shared" si="32"/>
        <v>192.71875471698118</v>
      </c>
    </row>
    <row r="202" spans="1:14" ht="63.75">
      <c r="A202" s="459" t="s">
        <v>3082</v>
      </c>
      <c r="B202" s="472" t="s">
        <v>3045</v>
      </c>
      <c r="C202" s="209">
        <v>5.3</v>
      </c>
      <c r="D202" s="116"/>
      <c r="E202" s="59">
        <f>C202*97.36*1.101</f>
        <v>568.1248079999999</v>
      </c>
      <c r="F202" s="32">
        <f>E202*1.18</f>
        <v>670.3872734399998</v>
      </c>
      <c r="G202" s="19">
        <v>1035.26</v>
      </c>
      <c r="H202" s="19">
        <f>G202*1.18</f>
        <v>1221.6068</v>
      </c>
      <c r="I202" s="19">
        <f>844.14*1.1*1.1</f>
        <v>1021.4094000000002</v>
      </c>
      <c r="J202" s="19">
        <f>I202*1.18</f>
        <v>1205.2630920000001</v>
      </c>
      <c r="K202" s="476"/>
      <c r="L202" s="477"/>
      <c r="M202" s="477"/>
      <c r="N202">
        <f t="shared" si="32"/>
        <v>192.71875471698118</v>
      </c>
    </row>
    <row r="203" spans="1:14" ht="25.5">
      <c r="A203" s="459"/>
      <c r="B203" s="472" t="s">
        <v>3083</v>
      </c>
      <c r="C203" s="209">
        <v>3.5</v>
      </c>
      <c r="D203" s="116"/>
      <c r="E203" s="59"/>
      <c r="F203" s="32"/>
      <c r="G203" s="19"/>
      <c r="H203" s="19"/>
      <c r="I203" s="19">
        <f>557.45*1.1*1.1</f>
        <v>674.5145000000001</v>
      </c>
      <c r="J203" s="19">
        <f t="shared" si="44"/>
        <v>795.9271100000001</v>
      </c>
      <c r="K203" s="476"/>
      <c r="L203" s="477"/>
      <c r="M203" s="477"/>
      <c r="N203">
        <f t="shared" si="32"/>
        <v>192.7184285714286</v>
      </c>
    </row>
    <row r="204" spans="1:14" ht="25.5">
      <c r="A204" s="459"/>
      <c r="B204" s="472" t="s">
        <v>3084</v>
      </c>
      <c r="C204" s="209">
        <v>3.8</v>
      </c>
      <c r="D204" s="116"/>
      <c r="E204" s="59"/>
      <c r="F204" s="32"/>
      <c r="G204" s="19"/>
      <c r="H204" s="19"/>
      <c r="I204" s="19">
        <f>605.23*1.1*1.1</f>
        <v>732.3283000000001</v>
      </c>
      <c r="J204" s="19">
        <f t="shared" si="44"/>
        <v>864.1473940000001</v>
      </c>
      <c r="K204" s="476"/>
      <c r="L204" s="477"/>
      <c r="M204" s="477"/>
      <c r="N204">
        <f t="shared" si="32"/>
        <v>192.71797368421056</v>
      </c>
    </row>
    <row r="205" spans="1:14" ht="25.5">
      <c r="A205" s="459"/>
      <c r="B205" s="472" t="s">
        <v>3085</v>
      </c>
      <c r="C205" s="209">
        <v>4.1</v>
      </c>
      <c r="D205" s="116"/>
      <c r="E205" s="59"/>
      <c r="F205" s="32"/>
      <c r="G205" s="19"/>
      <c r="H205" s="19"/>
      <c r="I205" s="19">
        <f>653.01*1.1*1.1</f>
        <v>790.1421000000001</v>
      </c>
      <c r="J205" s="19">
        <f t="shared" si="44"/>
        <v>932.3676780000001</v>
      </c>
      <c r="K205" s="476"/>
      <c r="L205" s="477"/>
      <c r="M205" s="477"/>
      <c r="N205">
        <f t="shared" si="32"/>
        <v>192.71758536585372</v>
      </c>
    </row>
    <row r="206" spans="1:14" ht="25.5">
      <c r="A206" s="459"/>
      <c r="B206" s="472" t="s">
        <v>3086</v>
      </c>
      <c r="C206" s="209">
        <v>4.4</v>
      </c>
      <c r="D206" s="116"/>
      <c r="E206" s="59"/>
      <c r="F206" s="32"/>
      <c r="G206" s="19"/>
      <c r="H206" s="19"/>
      <c r="I206" s="19">
        <f>700.79*1.1*1.1</f>
        <v>847.9559000000002</v>
      </c>
      <c r="J206" s="19">
        <f t="shared" si="44"/>
        <v>1000.5879620000002</v>
      </c>
      <c r="K206" s="476"/>
      <c r="L206" s="477"/>
      <c r="M206" s="477"/>
      <c r="N206">
        <f t="shared" si="32"/>
        <v>192.71725</v>
      </c>
    </row>
    <row r="207" spans="1:14" ht="25.5">
      <c r="A207" s="459"/>
      <c r="B207" s="472" t="s">
        <v>3087</v>
      </c>
      <c r="C207" s="209">
        <v>4.7</v>
      </c>
      <c r="D207" s="116"/>
      <c r="E207" s="59"/>
      <c r="F207" s="32"/>
      <c r="G207" s="19"/>
      <c r="H207" s="19"/>
      <c r="I207" s="19">
        <f>748.57*1.1*1.1</f>
        <v>905.7697000000002</v>
      </c>
      <c r="J207" s="19">
        <f t="shared" si="44"/>
        <v>1068.808246</v>
      </c>
      <c r="K207" s="476"/>
      <c r="L207" s="477"/>
      <c r="M207" s="477"/>
      <c r="N207">
        <f t="shared" si="32"/>
        <v>192.71695744680855</v>
      </c>
    </row>
    <row r="208" spans="1:14" ht="25.5">
      <c r="A208" s="459"/>
      <c r="B208" s="472" t="s">
        <v>3088</v>
      </c>
      <c r="C208" s="209">
        <v>5</v>
      </c>
      <c r="D208" s="116"/>
      <c r="E208" s="59"/>
      <c r="F208" s="32"/>
      <c r="G208" s="19"/>
      <c r="H208" s="19"/>
      <c r="I208" s="19">
        <f>796.35*1.1*1.1</f>
        <v>963.5835000000002</v>
      </c>
      <c r="J208" s="19">
        <f t="shared" si="44"/>
        <v>1137.02853</v>
      </c>
      <c r="K208" s="476"/>
      <c r="L208" s="477"/>
      <c r="M208" s="477"/>
      <c r="N208">
        <f t="shared" si="32"/>
        <v>192.71670000000003</v>
      </c>
    </row>
    <row r="209" spans="1:14" ht="51">
      <c r="A209" s="473" t="s">
        <v>3089</v>
      </c>
      <c r="B209" s="472" t="s">
        <v>3053</v>
      </c>
      <c r="C209" s="209">
        <v>5.9</v>
      </c>
      <c r="D209" s="116"/>
      <c r="E209" s="59"/>
      <c r="F209" s="32"/>
      <c r="G209" s="19"/>
      <c r="H209" s="19"/>
      <c r="I209" s="19">
        <f>557.45*1.1*1.1</f>
        <v>674.5145000000001</v>
      </c>
      <c r="J209" s="19">
        <f t="shared" si="44"/>
        <v>795.9271100000001</v>
      </c>
      <c r="K209" s="476"/>
      <c r="L209" s="477"/>
      <c r="M209" s="477"/>
      <c r="N209">
        <f aca="true" t="shared" si="45" ref="N209:N272">I209/C209</f>
        <v>114.32449152542374</v>
      </c>
    </row>
    <row r="210" spans="1:14" ht="25.5">
      <c r="A210" s="459"/>
      <c r="B210" s="472" t="s">
        <v>3090</v>
      </c>
      <c r="C210" s="209">
        <v>3.5</v>
      </c>
      <c r="D210" s="116"/>
      <c r="E210" s="59"/>
      <c r="F210" s="32"/>
      <c r="G210" s="19"/>
      <c r="H210" s="19"/>
      <c r="I210" s="19">
        <f>557.45*1.1*1.1</f>
        <v>674.5145000000001</v>
      </c>
      <c r="J210" s="19">
        <f t="shared" si="44"/>
        <v>795.9271100000001</v>
      </c>
      <c r="K210" s="476"/>
      <c r="L210" s="477"/>
      <c r="M210" s="477"/>
      <c r="N210">
        <f t="shared" si="45"/>
        <v>192.7184285714286</v>
      </c>
    </row>
    <row r="211" spans="1:14" s="111" customFormat="1" ht="25.5">
      <c r="A211" s="459"/>
      <c r="B211" s="472" t="s">
        <v>3091</v>
      </c>
      <c r="C211" s="209">
        <v>3.8</v>
      </c>
      <c r="D211" s="116"/>
      <c r="E211" s="59"/>
      <c r="F211" s="32"/>
      <c r="G211" s="19"/>
      <c r="H211" s="19"/>
      <c r="I211" s="19">
        <f>605.23*1.1*1.1</f>
        <v>732.3283000000001</v>
      </c>
      <c r="J211" s="19">
        <f t="shared" si="44"/>
        <v>864.1473940000001</v>
      </c>
      <c r="K211" s="476"/>
      <c r="L211" s="477"/>
      <c r="M211" s="477"/>
      <c r="N211">
        <f t="shared" si="45"/>
        <v>192.71797368421056</v>
      </c>
    </row>
    <row r="212" spans="1:14" ht="25.5">
      <c r="A212" s="459"/>
      <c r="B212" s="472" t="s">
        <v>3092</v>
      </c>
      <c r="C212" s="209">
        <v>4.1</v>
      </c>
      <c r="D212" s="116"/>
      <c r="E212" s="59"/>
      <c r="F212" s="32"/>
      <c r="G212" s="19"/>
      <c r="H212" s="19"/>
      <c r="I212" s="19">
        <f>653.01*1.1*1.1</f>
        <v>790.1421000000001</v>
      </c>
      <c r="J212" s="19">
        <f t="shared" si="44"/>
        <v>932.3676780000001</v>
      </c>
      <c r="K212" s="476"/>
      <c r="L212" s="477"/>
      <c r="M212" s="477"/>
      <c r="N212">
        <f t="shared" si="45"/>
        <v>192.71758536585372</v>
      </c>
    </row>
    <row r="213" spans="1:14" ht="25.5">
      <c r="A213" s="459"/>
      <c r="B213" s="472" t="s">
        <v>3093</v>
      </c>
      <c r="C213" s="209">
        <v>4.4</v>
      </c>
      <c r="D213" s="116"/>
      <c r="E213" s="59"/>
      <c r="F213" s="32"/>
      <c r="G213" s="19"/>
      <c r="H213" s="19"/>
      <c r="I213" s="19">
        <f>700.79*1.1*1.1</f>
        <v>847.9559000000002</v>
      </c>
      <c r="J213" s="19">
        <f t="shared" si="44"/>
        <v>1000.5879620000002</v>
      </c>
      <c r="K213" s="476"/>
      <c r="L213" s="477"/>
      <c r="M213" s="477"/>
      <c r="N213">
        <f t="shared" si="45"/>
        <v>192.71725</v>
      </c>
    </row>
    <row r="214" spans="1:14" ht="25.5">
      <c r="A214" s="459"/>
      <c r="B214" s="472" t="s">
        <v>3094</v>
      </c>
      <c r="C214" s="209">
        <v>4.7</v>
      </c>
      <c r="D214" s="116"/>
      <c r="E214" s="59"/>
      <c r="F214" s="32"/>
      <c r="G214" s="19"/>
      <c r="H214" s="19"/>
      <c r="I214" s="19">
        <f>748.57*1.1*1.1</f>
        <v>905.7697000000002</v>
      </c>
      <c r="J214" s="19">
        <f t="shared" si="44"/>
        <v>1068.808246</v>
      </c>
      <c r="K214" s="476"/>
      <c r="L214" s="477"/>
      <c r="M214" s="477"/>
      <c r="N214">
        <f t="shared" si="45"/>
        <v>192.71695744680855</v>
      </c>
    </row>
    <row r="215" spans="1:14" ht="25.5">
      <c r="A215" s="459"/>
      <c r="B215" s="472" t="s">
        <v>3095</v>
      </c>
      <c r="C215" s="209">
        <v>5</v>
      </c>
      <c r="D215" s="116"/>
      <c r="E215" s="59"/>
      <c r="F215" s="32"/>
      <c r="G215" s="19"/>
      <c r="H215" s="19"/>
      <c r="I215" s="19">
        <f>796.35*1.1*1.1</f>
        <v>963.5835000000002</v>
      </c>
      <c r="J215" s="19">
        <f t="shared" si="44"/>
        <v>1137.02853</v>
      </c>
      <c r="K215" s="476"/>
      <c r="L215" s="477"/>
      <c r="M215" s="477"/>
      <c r="N215">
        <f t="shared" si="45"/>
        <v>192.71670000000003</v>
      </c>
    </row>
    <row r="216" spans="1:14" ht="25.5">
      <c r="A216" s="459"/>
      <c r="B216" s="472" t="s">
        <v>3096</v>
      </c>
      <c r="C216" s="209">
        <v>5.3</v>
      </c>
      <c r="D216" s="116"/>
      <c r="E216" s="59">
        <f>C216*97.36*1.101</f>
        <v>568.1248079999999</v>
      </c>
      <c r="F216" s="32">
        <f>E216*1.18</f>
        <v>670.3872734399998</v>
      </c>
      <c r="G216" s="19">
        <v>844.14</v>
      </c>
      <c r="H216" s="19">
        <f>G216*1.18</f>
        <v>996.0852</v>
      </c>
      <c r="I216" s="19">
        <f>844.14*1.1*1.1</f>
        <v>1021.4094000000002</v>
      </c>
      <c r="J216" s="19">
        <f t="shared" si="44"/>
        <v>1205.2630920000001</v>
      </c>
      <c r="K216" s="476"/>
      <c r="L216" s="477"/>
      <c r="M216" s="477"/>
      <c r="N216">
        <f t="shared" si="45"/>
        <v>192.71875471698118</v>
      </c>
    </row>
    <row r="217" spans="1:14" ht="25.5">
      <c r="A217" s="459"/>
      <c r="B217" s="472" t="s">
        <v>3097</v>
      </c>
      <c r="C217" s="209">
        <v>5.6</v>
      </c>
      <c r="D217" s="116"/>
      <c r="E217" s="59">
        <f>C217*97.36*1.101</f>
        <v>600.282816</v>
      </c>
      <c r="F217" s="32">
        <f>E217*1.18</f>
        <v>708.33372288</v>
      </c>
      <c r="G217" s="19">
        <v>891.92</v>
      </c>
      <c r="H217" s="19">
        <f>G217*1.18</f>
        <v>1052.4656</v>
      </c>
      <c r="I217" s="19">
        <f>891.92*1.1*1.1</f>
        <v>1079.2232000000001</v>
      </c>
      <c r="J217" s="19">
        <f t="shared" si="44"/>
        <v>1273.4833760000001</v>
      </c>
      <c r="K217" s="476"/>
      <c r="L217" s="477"/>
      <c r="M217" s="477"/>
      <c r="N217">
        <f t="shared" si="45"/>
        <v>192.7184285714286</v>
      </c>
    </row>
    <row r="218" spans="1:14" ht="12.75">
      <c r="A218" s="481" t="s">
        <v>773</v>
      </c>
      <c r="B218" s="949" t="s">
        <v>1037</v>
      </c>
      <c r="C218" s="949"/>
      <c r="D218" s="949"/>
      <c r="E218" s="949"/>
      <c r="F218" s="949"/>
      <c r="G218" s="949"/>
      <c r="H218" s="949"/>
      <c r="I218" s="949"/>
      <c r="J218" s="949"/>
      <c r="K218" s="111"/>
      <c r="L218" s="111"/>
      <c r="M218" s="111"/>
      <c r="N218" t="e">
        <f t="shared" si="45"/>
        <v>#DIV/0!</v>
      </c>
    </row>
    <row r="219" spans="1:14" ht="12.75">
      <c r="A219" s="508" t="s">
        <v>382</v>
      </c>
      <c r="B219" s="499" t="s">
        <v>1038</v>
      </c>
      <c r="C219" s="204">
        <v>0.3</v>
      </c>
      <c r="D219" s="39">
        <v>546.9</v>
      </c>
      <c r="E219" s="68">
        <f aca="true" t="shared" si="46" ref="E219:E240">C219*97.36*1.101</f>
        <v>32.158007999999995</v>
      </c>
      <c r="F219" s="32">
        <f aca="true" t="shared" si="47" ref="F219:F240">E219*1.18</f>
        <v>37.946449439999995</v>
      </c>
      <c r="G219" s="80">
        <f t="shared" si="36"/>
        <v>42.52896557999998</v>
      </c>
      <c r="H219" s="19">
        <f aca="true" t="shared" si="48" ref="H219:H240">G219*1.18</f>
        <v>50.184179384399975</v>
      </c>
      <c r="I219" s="80">
        <f aca="true" t="shared" si="49" ref="I219:I240">G219*1.2*1.05*1.07*1.1*1.1</f>
        <v>69.37843718789675</v>
      </c>
      <c r="J219" s="19">
        <f aca="true" t="shared" si="50" ref="J219:J251">I219*1.18</f>
        <v>81.86655588171816</v>
      </c>
      <c r="K219" s="94">
        <f t="shared" si="38"/>
        <v>1.6313220000000004</v>
      </c>
      <c r="N219">
        <f t="shared" si="45"/>
        <v>231.26145729298918</v>
      </c>
    </row>
    <row r="220" spans="1:14" ht="12.75">
      <c r="A220" s="508" t="s">
        <v>383</v>
      </c>
      <c r="B220" s="499" t="s">
        <v>1039</v>
      </c>
      <c r="C220" s="204">
        <v>2</v>
      </c>
      <c r="D220" s="39">
        <v>546.9</v>
      </c>
      <c r="E220" s="68">
        <f t="shared" si="46"/>
        <v>214.38672</v>
      </c>
      <c r="F220" s="32">
        <f t="shared" si="47"/>
        <v>252.97632959999999</v>
      </c>
      <c r="G220" s="80">
        <f t="shared" si="36"/>
        <v>283.5264371999999</v>
      </c>
      <c r="H220" s="19">
        <f t="shared" si="48"/>
        <v>334.5611958959999</v>
      </c>
      <c r="I220" s="80">
        <f t="shared" si="49"/>
        <v>462.52291458597836</v>
      </c>
      <c r="J220" s="19">
        <f t="shared" si="50"/>
        <v>545.7770392114544</v>
      </c>
      <c r="K220" s="470">
        <f t="shared" si="38"/>
        <v>1.6313220000000004</v>
      </c>
      <c r="L220" s="471"/>
      <c r="M220" s="471"/>
      <c r="N220">
        <f t="shared" si="45"/>
        <v>231.26145729298918</v>
      </c>
    </row>
    <row r="221" spans="1:14" s="111" customFormat="1" ht="15.75" customHeight="1">
      <c r="A221" s="508" t="s">
        <v>384</v>
      </c>
      <c r="B221" s="499" t="s">
        <v>798</v>
      </c>
      <c r="C221" s="204">
        <v>1.7</v>
      </c>
      <c r="D221" s="39">
        <v>546.9</v>
      </c>
      <c r="E221" s="68">
        <f t="shared" si="46"/>
        <v>182.228712</v>
      </c>
      <c r="F221" s="32">
        <f t="shared" si="47"/>
        <v>215.02988016</v>
      </c>
      <c r="G221" s="80">
        <f t="shared" si="36"/>
        <v>240.99747161999997</v>
      </c>
      <c r="H221" s="19">
        <f t="shared" si="48"/>
        <v>284.37701651159995</v>
      </c>
      <c r="I221" s="80">
        <f t="shared" si="49"/>
        <v>393.14447739808156</v>
      </c>
      <c r="J221" s="19">
        <f t="shared" si="50"/>
        <v>463.9104833297362</v>
      </c>
      <c r="K221" s="470">
        <f t="shared" si="38"/>
        <v>1.631322</v>
      </c>
      <c r="L221" s="471"/>
      <c r="M221" s="471"/>
      <c r="N221">
        <f t="shared" si="45"/>
        <v>231.26145729298915</v>
      </c>
    </row>
    <row r="222" spans="1:14" ht="12.75">
      <c r="A222" s="508" t="s">
        <v>385</v>
      </c>
      <c r="B222" s="499" t="s">
        <v>872</v>
      </c>
      <c r="C222" s="204">
        <v>2</v>
      </c>
      <c r="D222" s="39">
        <v>546.9</v>
      </c>
      <c r="E222" s="68">
        <f t="shared" si="46"/>
        <v>214.38672</v>
      </c>
      <c r="F222" s="32">
        <f t="shared" si="47"/>
        <v>252.97632959999999</v>
      </c>
      <c r="G222" s="80">
        <f t="shared" si="36"/>
        <v>283.5264371999999</v>
      </c>
      <c r="H222" s="19">
        <f t="shared" si="48"/>
        <v>334.5611958959999</v>
      </c>
      <c r="I222" s="80">
        <f t="shared" si="49"/>
        <v>462.52291458597836</v>
      </c>
      <c r="J222" s="19">
        <f t="shared" si="50"/>
        <v>545.7770392114544</v>
      </c>
      <c r="K222" s="470">
        <f t="shared" si="38"/>
        <v>1.6313220000000004</v>
      </c>
      <c r="L222" s="471"/>
      <c r="M222" s="471"/>
      <c r="N222">
        <f t="shared" si="45"/>
        <v>231.26145729298918</v>
      </c>
    </row>
    <row r="223" spans="1:14" ht="12.75">
      <c r="A223" s="508" t="s">
        <v>386</v>
      </c>
      <c r="B223" s="499" t="s">
        <v>2594</v>
      </c>
      <c r="C223" s="204">
        <v>1.5</v>
      </c>
      <c r="D223" s="39">
        <v>546.9</v>
      </c>
      <c r="E223" s="68">
        <f t="shared" si="46"/>
        <v>160.79003999999998</v>
      </c>
      <c r="F223" s="32">
        <f t="shared" si="47"/>
        <v>189.73224719999996</v>
      </c>
      <c r="G223" s="80">
        <f t="shared" si="36"/>
        <v>212.6448278999999</v>
      </c>
      <c r="H223" s="19">
        <f t="shared" si="48"/>
        <v>250.92089692199988</v>
      </c>
      <c r="I223" s="80">
        <f t="shared" si="49"/>
        <v>346.89218593948374</v>
      </c>
      <c r="J223" s="19">
        <f t="shared" si="50"/>
        <v>409.3327794085908</v>
      </c>
      <c r="K223" s="470">
        <f t="shared" si="38"/>
        <v>1.6313220000000004</v>
      </c>
      <c r="L223" s="471"/>
      <c r="M223" s="471"/>
      <c r="N223">
        <f t="shared" si="45"/>
        <v>231.26145729298915</v>
      </c>
    </row>
    <row r="224" spans="1:14" ht="12.75">
      <c r="A224" s="508" t="s">
        <v>387</v>
      </c>
      <c r="B224" s="499" t="s">
        <v>1032</v>
      </c>
      <c r="C224" s="204">
        <v>1.7</v>
      </c>
      <c r="D224" s="39">
        <v>546.9</v>
      </c>
      <c r="E224" s="68">
        <f t="shared" si="46"/>
        <v>182.228712</v>
      </c>
      <c r="F224" s="32">
        <f t="shared" si="47"/>
        <v>215.02988016</v>
      </c>
      <c r="G224" s="80">
        <f t="shared" si="36"/>
        <v>240.99747161999997</v>
      </c>
      <c r="H224" s="19">
        <f t="shared" si="48"/>
        <v>284.37701651159995</v>
      </c>
      <c r="I224" s="80">
        <f t="shared" si="49"/>
        <v>393.14447739808156</v>
      </c>
      <c r="J224" s="19">
        <f t="shared" si="50"/>
        <v>463.9104833297362</v>
      </c>
      <c r="K224" s="94">
        <f t="shared" si="38"/>
        <v>1.631322</v>
      </c>
      <c r="N224">
        <f t="shared" si="45"/>
        <v>231.26145729298915</v>
      </c>
    </row>
    <row r="225" spans="1:14" s="111" customFormat="1" ht="12.75">
      <c r="A225" s="508" t="s">
        <v>388</v>
      </c>
      <c r="B225" s="499" t="s">
        <v>2535</v>
      </c>
      <c r="C225" s="204">
        <v>2.5</v>
      </c>
      <c r="D225" s="39">
        <v>546.9</v>
      </c>
      <c r="E225" s="68">
        <f t="shared" si="46"/>
        <v>267.9834</v>
      </c>
      <c r="F225" s="32">
        <f t="shared" si="47"/>
        <v>316.220412</v>
      </c>
      <c r="G225" s="80">
        <f t="shared" si="36"/>
        <v>354.40804649999995</v>
      </c>
      <c r="H225" s="19">
        <f t="shared" si="48"/>
        <v>418.2014948699999</v>
      </c>
      <c r="I225" s="80">
        <f t="shared" si="49"/>
        <v>578.1536432324731</v>
      </c>
      <c r="J225" s="19">
        <f t="shared" si="50"/>
        <v>682.2212990143182</v>
      </c>
      <c r="K225" s="470">
        <f t="shared" si="38"/>
        <v>1.6313220000000004</v>
      </c>
      <c r="L225" s="471"/>
      <c r="M225" s="471"/>
      <c r="N225">
        <f t="shared" si="45"/>
        <v>231.26145729298923</v>
      </c>
    </row>
    <row r="226" spans="1:14" ht="12.75">
      <c r="A226" s="508" t="s">
        <v>389</v>
      </c>
      <c r="B226" s="499" t="s">
        <v>698</v>
      </c>
      <c r="C226" s="204">
        <v>2.5</v>
      </c>
      <c r="D226" s="39">
        <v>546.9</v>
      </c>
      <c r="E226" s="68">
        <f t="shared" si="46"/>
        <v>267.9834</v>
      </c>
      <c r="F226" s="32">
        <f t="shared" si="47"/>
        <v>316.220412</v>
      </c>
      <c r="G226" s="80">
        <f t="shared" si="36"/>
        <v>354.40804649999995</v>
      </c>
      <c r="H226" s="19">
        <f t="shared" si="48"/>
        <v>418.2014948699999</v>
      </c>
      <c r="I226" s="80">
        <f t="shared" si="49"/>
        <v>578.1536432324731</v>
      </c>
      <c r="J226" s="19">
        <f t="shared" si="50"/>
        <v>682.2212990143182</v>
      </c>
      <c r="K226" s="470">
        <f t="shared" si="38"/>
        <v>1.6313220000000004</v>
      </c>
      <c r="L226" s="471"/>
      <c r="M226" s="471"/>
      <c r="N226">
        <f t="shared" si="45"/>
        <v>231.26145729298923</v>
      </c>
    </row>
    <row r="227" spans="1:14" ht="12.75">
      <c r="A227" s="508" t="s">
        <v>390</v>
      </c>
      <c r="B227" s="499" t="s">
        <v>1040</v>
      </c>
      <c r="C227" s="204">
        <v>3</v>
      </c>
      <c r="D227" s="39">
        <v>546.9</v>
      </c>
      <c r="E227" s="68">
        <f t="shared" si="46"/>
        <v>321.58007999999995</v>
      </c>
      <c r="F227" s="32">
        <f t="shared" si="47"/>
        <v>379.4644943999999</v>
      </c>
      <c r="G227" s="80">
        <f t="shared" si="36"/>
        <v>425.2896557999998</v>
      </c>
      <c r="H227" s="19">
        <f t="shared" si="48"/>
        <v>501.84179384399977</v>
      </c>
      <c r="I227" s="80">
        <f t="shared" si="49"/>
        <v>693.7843718789675</v>
      </c>
      <c r="J227" s="19">
        <f t="shared" si="50"/>
        <v>818.6655588171816</v>
      </c>
      <c r="K227" s="470">
        <f t="shared" si="38"/>
        <v>1.6313220000000004</v>
      </c>
      <c r="L227" s="471"/>
      <c r="M227" s="471"/>
      <c r="N227">
        <f t="shared" si="45"/>
        <v>231.26145729298915</v>
      </c>
    </row>
    <row r="228" spans="1:14" ht="12.75">
      <c r="A228" s="508" t="s">
        <v>391</v>
      </c>
      <c r="B228" s="499" t="s">
        <v>1041</v>
      </c>
      <c r="C228" s="204">
        <v>1.7</v>
      </c>
      <c r="D228" s="39">
        <v>546.9</v>
      </c>
      <c r="E228" s="68">
        <f t="shared" si="46"/>
        <v>182.228712</v>
      </c>
      <c r="F228" s="32">
        <f t="shared" si="47"/>
        <v>215.02988016</v>
      </c>
      <c r="G228" s="80">
        <f t="shared" si="36"/>
        <v>240.99747161999997</v>
      </c>
      <c r="H228" s="19">
        <f t="shared" si="48"/>
        <v>284.37701651159995</v>
      </c>
      <c r="I228" s="80">
        <f t="shared" si="49"/>
        <v>393.14447739808156</v>
      </c>
      <c r="J228" s="19">
        <f t="shared" si="50"/>
        <v>463.9104833297362</v>
      </c>
      <c r="K228" s="94">
        <f t="shared" si="38"/>
        <v>1.631322</v>
      </c>
      <c r="N228">
        <f t="shared" si="45"/>
        <v>231.26145729298915</v>
      </c>
    </row>
    <row r="229" spans="1:14" s="111" customFormat="1" ht="12.75">
      <c r="A229" s="508" t="s">
        <v>392</v>
      </c>
      <c r="B229" s="499" t="s">
        <v>1031</v>
      </c>
      <c r="C229" s="204">
        <v>1.7</v>
      </c>
      <c r="D229" s="39">
        <v>546.9</v>
      </c>
      <c r="E229" s="68">
        <f t="shared" si="46"/>
        <v>182.228712</v>
      </c>
      <c r="F229" s="32">
        <f t="shared" si="47"/>
        <v>215.02988016</v>
      </c>
      <c r="G229" s="80">
        <f t="shared" si="36"/>
        <v>240.99747161999997</v>
      </c>
      <c r="H229" s="19">
        <f t="shared" si="48"/>
        <v>284.37701651159995</v>
      </c>
      <c r="I229" s="80">
        <f t="shared" si="49"/>
        <v>393.14447739808156</v>
      </c>
      <c r="J229" s="19">
        <f t="shared" si="50"/>
        <v>463.9104833297362</v>
      </c>
      <c r="K229" s="94">
        <f t="shared" si="38"/>
        <v>1.631322</v>
      </c>
      <c r="L229"/>
      <c r="M229"/>
      <c r="N229">
        <f t="shared" si="45"/>
        <v>231.26145729298915</v>
      </c>
    </row>
    <row r="230" spans="1:14" ht="12.75">
      <c r="A230" s="508" t="s">
        <v>393</v>
      </c>
      <c r="B230" s="499" t="s">
        <v>700</v>
      </c>
      <c r="C230" s="204">
        <v>1.7</v>
      </c>
      <c r="D230" s="39">
        <v>546.9</v>
      </c>
      <c r="E230" s="68">
        <f t="shared" si="46"/>
        <v>182.228712</v>
      </c>
      <c r="F230" s="32">
        <f t="shared" si="47"/>
        <v>215.02988016</v>
      </c>
      <c r="G230" s="80">
        <f t="shared" si="36"/>
        <v>240.99747161999997</v>
      </c>
      <c r="H230" s="19">
        <f t="shared" si="48"/>
        <v>284.37701651159995</v>
      </c>
      <c r="I230" s="80">
        <f t="shared" si="49"/>
        <v>393.14447739808156</v>
      </c>
      <c r="J230" s="19">
        <f t="shared" si="50"/>
        <v>463.9104833297362</v>
      </c>
      <c r="K230" s="94">
        <f t="shared" si="38"/>
        <v>1.631322</v>
      </c>
      <c r="N230">
        <f t="shared" si="45"/>
        <v>231.26145729298915</v>
      </c>
    </row>
    <row r="231" spans="1:14" ht="12.75">
      <c r="A231" s="508" t="s">
        <v>394</v>
      </c>
      <c r="B231" s="499" t="s">
        <v>417</v>
      </c>
      <c r="C231" s="204">
        <v>1</v>
      </c>
      <c r="D231" s="39">
        <v>546.9</v>
      </c>
      <c r="E231" s="68">
        <f t="shared" si="46"/>
        <v>107.19336</v>
      </c>
      <c r="F231" s="32">
        <f t="shared" si="47"/>
        <v>126.48816479999999</v>
      </c>
      <c r="G231" s="80">
        <f t="shared" si="36"/>
        <v>141.76321859999996</v>
      </c>
      <c r="H231" s="19">
        <f t="shared" si="48"/>
        <v>167.28059794799995</v>
      </c>
      <c r="I231" s="80">
        <f t="shared" si="49"/>
        <v>231.26145729298918</v>
      </c>
      <c r="J231" s="19">
        <f t="shared" si="50"/>
        <v>272.8885196057272</v>
      </c>
      <c r="K231" s="470">
        <f t="shared" si="38"/>
        <v>1.6313220000000004</v>
      </c>
      <c r="L231" s="471"/>
      <c r="M231" s="471"/>
      <c r="N231">
        <f t="shared" si="45"/>
        <v>231.26145729298918</v>
      </c>
    </row>
    <row r="232" spans="1:14" ht="12.75">
      <c r="A232" s="508" t="s">
        <v>395</v>
      </c>
      <c r="B232" s="499" t="s">
        <v>628</v>
      </c>
      <c r="C232" s="204">
        <v>1</v>
      </c>
      <c r="D232" s="39">
        <v>546.9</v>
      </c>
      <c r="E232" s="68">
        <f t="shared" si="46"/>
        <v>107.19336</v>
      </c>
      <c r="F232" s="32">
        <f t="shared" si="47"/>
        <v>126.48816479999999</v>
      </c>
      <c r="G232" s="80">
        <f t="shared" si="36"/>
        <v>141.76321859999996</v>
      </c>
      <c r="H232" s="19">
        <f t="shared" si="48"/>
        <v>167.28059794799995</v>
      </c>
      <c r="I232" s="80">
        <f t="shared" si="49"/>
        <v>231.26145729298918</v>
      </c>
      <c r="J232" s="19">
        <f t="shared" si="50"/>
        <v>272.8885196057272</v>
      </c>
      <c r="K232" s="470">
        <f t="shared" si="38"/>
        <v>1.6313220000000004</v>
      </c>
      <c r="L232" s="471"/>
      <c r="M232" s="471"/>
      <c r="N232">
        <f t="shared" si="45"/>
        <v>231.26145729298918</v>
      </c>
    </row>
    <row r="233" spans="1:14" ht="12.75">
      <c r="A233" s="508" t="s">
        <v>396</v>
      </c>
      <c r="B233" s="499" t="s">
        <v>418</v>
      </c>
      <c r="C233" s="204">
        <v>1.2</v>
      </c>
      <c r="D233" s="39">
        <v>546.9</v>
      </c>
      <c r="E233" s="68">
        <f t="shared" si="46"/>
        <v>128.63203199999998</v>
      </c>
      <c r="F233" s="32">
        <f t="shared" si="47"/>
        <v>151.78579775999998</v>
      </c>
      <c r="G233" s="80">
        <f t="shared" si="36"/>
        <v>170.11586231999993</v>
      </c>
      <c r="H233" s="19">
        <f t="shared" si="48"/>
        <v>200.7367175375999</v>
      </c>
      <c r="I233" s="80">
        <f t="shared" si="49"/>
        <v>277.513748751587</v>
      </c>
      <c r="J233" s="19">
        <f t="shared" si="50"/>
        <v>327.4662235268726</v>
      </c>
      <c r="K233" s="470">
        <f t="shared" si="38"/>
        <v>1.6313220000000004</v>
      </c>
      <c r="L233" s="471"/>
      <c r="M233" s="471"/>
      <c r="N233">
        <f t="shared" si="45"/>
        <v>231.26145729298918</v>
      </c>
    </row>
    <row r="234" spans="1:14" ht="12.75">
      <c r="A234" s="508" t="s">
        <v>397</v>
      </c>
      <c r="B234" s="499" t="s">
        <v>402</v>
      </c>
      <c r="C234" s="204">
        <v>1.2</v>
      </c>
      <c r="D234" s="39"/>
      <c r="E234" s="68">
        <f t="shared" si="46"/>
        <v>128.63203199999998</v>
      </c>
      <c r="F234" s="32">
        <f t="shared" si="47"/>
        <v>151.78579775999998</v>
      </c>
      <c r="G234" s="80">
        <f t="shared" si="36"/>
        <v>170.11586231999993</v>
      </c>
      <c r="H234" s="19">
        <f t="shared" si="48"/>
        <v>200.7367175375999</v>
      </c>
      <c r="I234" s="80">
        <f t="shared" si="49"/>
        <v>277.513748751587</v>
      </c>
      <c r="J234" s="19">
        <f t="shared" si="50"/>
        <v>327.4662235268726</v>
      </c>
      <c r="K234" s="470">
        <f t="shared" si="38"/>
        <v>1.6313220000000004</v>
      </c>
      <c r="L234" s="471"/>
      <c r="M234" s="471"/>
      <c r="N234">
        <f t="shared" si="45"/>
        <v>231.26145729298918</v>
      </c>
    </row>
    <row r="235" spans="1:14" ht="12.75">
      <c r="A235" s="508" t="s">
        <v>398</v>
      </c>
      <c r="B235" s="499" t="s">
        <v>419</v>
      </c>
      <c r="C235" s="204">
        <v>1.2</v>
      </c>
      <c r="D235" s="39"/>
      <c r="E235" s="68">
        <f t="shared" si="46"/>
        <v>128.63203199999998</v>
      </c>
      <c r="F235" s="32">
        <f t="shared" si="47"/>
        <v>151.78579775999998</v>
      </c>
      <c r="G235" s="80">
        <f t="shared" si="36"/>
        <v>170.11586231999993</v>
      </c>
      <c r="H235" s="19">
        <f t="shared" si="48"/>
        <v>200.7367175375999</v>
      </c>
      <c r="I235" s="80">
        <f t="shared" si="49"/>
        <v>277.513748751587</v>
      </c>
      <c r="J235" s="19">
        <f t="shared" si="50"/>
        <v>327.4662235268726</v>
      </c>
      <c r="K235" s="470">
        <f t="shared" si="38"/>
        <v>1.6313220000000004</v>
      </c>
      <c r="L235" s="471"/>
      <c r="M235" s="471"/>
      <c r="N235">
        <f t="shared" si="45"/>
        <v>231.26145729298918</v>
      </c>
    </row>
    <row r="236" spans="1:14" ht="12.75">
      <c r="A236" s="508" t="s">
        <v>399</v>
      </c>
      <c r="B236" s="499" t="s">
        <v>420</v>
      </c>
      <c r="C236" s="204">
        <v>1.2</v>
      </c>
      <c r="D236" s="39"/>
      <c r="E236" s="68">
        <f t="shared" si="46"/>
        <v>128.63203199999998</v>
      </c>
      <c r="F236" s="32">
        <f t="shared" si="47"/>
        <v>151.78579775999998</v>
      </c>
      <c r="G236" s="80">
        <f t="shared" si="36"/>
        <v>170.11586231999993</v>
      </c>
      <c r="H236" s="19">
        <f t="shared" si="48"/>
        <v>200.7367175375999</v>
      </c>
      <c r="I236" s="80">
        <f t="shared" si="49"/>
        <v>277.513748751587</v>
      </c>
      <c r="J236" s="19">
        <f t="shared" si="50"/>
        <v>327.4662235268726</v>
      </c>
      <c r="K236" s="470">
        <f t="shared" si="38"/>
        <v>1.6313220000000004</v>
      </c>
      <c r="L236" s="471"/>
      <c r="M236" s="471"/>
      <c r="N236">
        <f t="shared" si="45"/>
        <v>231.26145729298918</v>
      </c>
    </row>
    <row r="237" spans="1:14" ht="12.75">
      <c r="A237" s="508" t="s">
        <v>400</v>
      </c>
      <c r="B237" s="499" t="s">
        <v>421</v>
      </c>
      <c r="C237" s="204">
        <v>1.2</v>
      </c>
      <c r="D237" s="39"/>
      <c r="E237" s="68">
        <f t="shared" si="46"/>
        <v>128.63203199999998</v>
      </c>
      <c r="F237" s="32">
        <f t="shared" si="47"/>
        <v>151.78579775999998</v>
      </c>
      <c r="G237" s="80">
        <f t="shared" si="36"/>
        <v>170.11586231999993</v>
      </c>
      <c r="H237" s="19">
        <f t="shared" si="48"/>
        <v>200.7367175375999</v>
      </c>
      <c r="I237" s="80">
        <f t="shared" si="49"/>
        <v>277.513748751587</v>
      </c>
      <c r="J237" s="19">
        <f t="shared" si="50"/>
        <v>327.4662235268726</v>
      </c>
      <c r="K237" s="470">
        <f t="shared" si="38"/>
        <v>1.6313220000000004</v>
      </c>
      <c r="L237" s="471"/>
      <c r="M237" s="471"/>
      <c r="N237">
        <f t="shared" si="45"/>
        <v>231.26145729298918</v>
      </c>
    </row>
    <row r="238" spans="1:14" s="111" customFormat="1" ht="14.25" customHeight="1">
      <c r="A238" s="508" t="s">
        <v>1383</v>
      </c>
      <c r="B238" s="499" t="s">
        <v>422</v>
      </c>
      <c r="C238" s="204">
        <v>1.2</v>
      </c>
      <c r="D238" s="39"/>
      <c r="E238" s="68">
        <f t="shared" si="46"/>
        <v>128.63203199999998</v>
      </c>
      <c r="F238" s="32">
        <f t="shared" si="47"/>
        <v>151.78579775999998</v>
      </c>
      <c r="G238" s="80">
        <f t="shared" si="36"/>
        <v>170.11586231999993</v>
      </c>
      <c r="H238" s="19">
        <f t="shared" si="48"/>
        <v>200.7367175375999</v>
      </c>
      <c r="I238" s="80">
        <f t="shared" si="49"/>
        <v>277.513748751587</v>
      </c>
      <c r="J238" s="19">
        <f t="shared" si="50"/>
        <v>327.4662235268726</v>
      </c>
      <c r="K238" s="470">
        <f t="shared" si="38"/>
        <v>1.6313220000000004</v>
      </c>
      <c r="L238" s="471"/>
      <c r="M238" s="471"/>
      <c r="N238">
        <f t="shared" si="45"/>
        <v>231.26145729298918</v>
      </c>
    </row>
    <row r="239" spans="1:14" ht="12.75">
      <c r="A239" s="508" t="s">
        <v>1384</v>
      </c>
      <c r="B239" s="499" t="s">
        <v>423</v>
      </c>
      <c r="C239" s="204">
        <v>1</v>
      </c>
      <c r="D239" s="39"/>
      <c r="E239" s="68">
        <f t="shared" si="46"/>
        <v>107.19336</v>
      </c>
      <c r="F239" s="32">
        <f t="shared" si="47"/>
        <v>126.48816479999999</v>
      </c>
      <c r="G239" s="80">
        <f t="shared" si="36"/>
        <v>141.76321859999996</v>
      </c>
      <c r="H239" s="19">
        <f t="shared" si="48"/>
        <v>167.28059794799995</v>
      </c>
      <c r="I239" s="80">
        <f t="shared" si="49"/>
        <v>231.26145729298918</v>
      </c>
      <c r="J239" s="19">
        <f t="shared" si="50"/>
        <v>272.8885196057272</v>
      </c>
      <c r="K239" s="470">
        <f t="shared" si="38"/>
        <v>1.6313220000000004</v>
      </c>
      <c r="L239" s="471"/>
      <c r="M239" s="471"/>
      <c r="N239">
        <f t="shared" si="45"/>
        <v>231.26145729298918</v>
      </c>
    </row>
    <row r="240" spans="1:14" ht="12.75">
      <c r="A240" s="508" t="s">
        <v>1385</v>
      </c>
      <c r="B240" s="499" t="s">
        <v>424</v>
      </c>
      <c r="C240" s="204">
        <v>6</v>
      </c>
      <c r="D240" s="39"/>
      <c r="E240" s="68">
        <f t="shared" si="46"/>
        <v>643.1601599999999</v>
      </c>
      <c r="F240" s="32">
        <f t="shared" si="47"/>
        <v>758.9289887999998</v>
      </c>
      <c r="G240" s="80">
        <f t="shared" si="36"/>
        <v>850.5793115999996</v>
      </c>
      <c r="H240" s="19">
        <f t="shared" si="48"/>
        <v>1003.6835876879995</v>
      </c>
      <c r="I240" s="80">
        <f t="shared" si="49"/>
        <v>1387.568743757935</v>
      </c>
      <c r="J240" s="19">
        <f t="shared" si="50"/>
        <v>1637.3311176343632</v>
      </c>
      <c r="K240" s="470">
        <f t="shared" si="38"/>
        <v>1.6313220000000004</v>
      </c>
      <c r="L240" s="471"/>
      <c r="M240" s="471"/>
      <c r="N240">
        <f t="shared" si="45"/>
        <v>231.26145729298915</v>
      </c>
    </row>
    <row r="241" spans="1:14" ht="25.5">
      <c r="A241" s="473" t="s">
        <v>3098</v>
      </c>
      <c r="B241" s="472" t="s">
        <v>3099</v>
      </c>
      <c r="C241" s="209">
        <v>5.9</v>
      </c>
      <c r="D241" s="116"/>
      <c r="E241" s="59"/>
      <c r="F241" s="32"/>
      <c r="G241" s="19"/>
      <c r="H241" s="19"/>
      <c r="I241" s="19">
        <f>557.45*1.1*1.1</f>
        <v>674.5145000000001</v>
      </c>
      <c r="J241" s="19">
        <f t="shared" si="50"/>
        <v>795.9271100000001</v>
      </c>
      <c r="K241" s="470"/>
      <c r="L241" s="471"/>
      <c r="M241" s="471"/>
      <c r="N241">
        <f t="shared" si="45"/>
        <v>114.32449152542374</v>
      </c>
    </row>
    <row r="242" spans="1:14" ht="25.5">
      <c r="A242" s="459"/>
      <c r="B242" s="472" t="s">
        <v>3100</v>
      </c>
      <c r="C242" s="209">
        <v>3.5</v>
      </c>
      <c r="D242" s="116"/>
      <c r="E242" s="59"/>
      <c r="F242" s="32"/>
      <c r="G242" s="19"/>
      <c r="H242" s="19"/>
      <c r="I242" s="19">
        <f>557.45*1.1*1.1</f>
        <v>674.5145000000001</v>
      </c>
      <c r="J242" s="19">
        <f t="shared" si="50"/>
        <v>795.9271100000001</v>
      </c>
      <c r="K242" s="470"/>
      <c r="L242" s="471"/>
      <c r="M242" s="471"/>
      <c r="N242">
        <f t="shared" si="45"/>
        <v>192.7184285714286</v>
      </c>
    </row>
    <row r="243" spans="1:14" ht="25.5">
      <c r="A243" s="459"/>
      <c r="B243" s="472" t="s">
        <v>3101</v>
      </c>
      <c r="C243" s="209">
        <v>3.8</v>
      </c>
      <c r="D243" s="116"/>
      <c r="E243" s="59"/>
      <c r="F243" s="32"/>
      <c r="G243" s="19"/>
      <c r="H243" s="19"/>
      <c r="I243" s="19">
        <f>605.23*1.1*1.1</f>
        <v>732.3283000000001</v>
      </c>
      <c r="J243" s="19">
        <f t="shared" si="50"/>
        <v>864.1473940000001</v>
      </c>
      <c r="K243" s="470"/>
      <c r="L243" s="471"/>
      <c r="M243" s="471"/>
      <c r="N243">
        <f t="shared" si="45"/>
        <v>192.71797368421056</v>
      </c>
    </row>
    <row r="244" spans="1:14" ht="51">
      <c r="A244" s="473" t="s">
        <v>3102</v>
      </c>
      <c r="B244" s="472" t="s">
        <v>3103</v>
      </c>
      <c r="C244" s="209">
        <v>5.3</v>
      </c>
      <c r="D244" s="116"/>
      <c r="E244" s="59">
        <f>C244*97.36*1.101</f>
        <v>568.1248079999999</v>
      </c>
      <c r="F244" s="32">
        <f>E244*1.18</f>
        <v>670.3872734399998</v>
      </c>
      <c r="G244" s="19">
        <v>1035.26</v>
      </c>
      <c r="H244" s="19">
        <f>G244*1.18</f>
        <v>1221.6068</v>
      </c>
      <c r="I244" s="19">
        <f>844.14*1.1*1.1</f>
        <v>1021.4094000000002</v>
      </c>
      <c r="J244" s="19">
        <f t="shared" si="50"/>
        <v>1205.2630920000001</v>
      </c>
      <c r="K244" s="476"/>
      <c r="L244" s="477"/>
      <c r="M244" s="477"/>
      <c r="N244">
        <f t="shared" si="45"/>
        <v>192.71875471698118</v>
      </c>
    </row>
    <row r="245" spans="1:14" ht="25.5">
      <c r="A245" s="459"/>
      <c r="B245" s="472" t="s">
        <v>3104</v>
      </c>
      <c r="C245" s="209">
        <v>3.5</v>
      </c>
      <c r="D245" s="116"/>
      <c r="E245" s="59"/>
      <c r="F245" s="32"/>
      <c r="G245" s="19"/>
      <c r="H245" s="19"/>
      <c r="I245" s="19">
        <f>557.45*1.1*1.1</f>
        <v>674.5145000000001</v>
      </c>
      <c r="J245" s="19">
        <f t="shared" si="50"/>
        <v>795.9271100000001</v>
      </c>
      <c r="K245" s="476"/>
      <c r="L245" s="477"/>
      <c r="M245" s="477"/>
      <c r="N245">
        <f t="shared" si="45"/>
        <v>192.7184285714286</v>
      </c>
    </row>
    <row r="246" spans="1:14" ht="25.5">
      <c r="A246" s="459"/>
      <c r="B246" s="472" t="s">
        <v>3105</v>
      </c>
      <c r="C246" s="209">
        <v>3.8</v>
      </c>
      <c r="D246" s="116"/>
      <c r="E246" s="59"/>
      <c r="F246" s="32"/>
      <c r="G246" s="19"/>
      <c r="H246" s="19"/>
      <c r="I246" s="19">
        <f>605.23*1.1*1.1</f>
        <v>732.3283000000001</v>
      </c>
      <c r="J246" s="19">
        <f t="shared" si="50"/>
        <v>864.1473940000001</v>
      </c>
      <c r="K246" s="476"/>
      <c r="L246" s="477"/>
      <c r="M246" s="477"/>
      <c r="N246">
        <f t="shared" si="45"/>
        <v>192.71797368421056</v>
      </c>
    </row>
    <row r="247" spans="1:14" ht="25.5">
      <c r="A247" s="459"/>
      <c r="B247" s="472" t="s">
        <v>3106</v>
      </c>
      <c r="C247" s="209">
        <v>4.1</v>
      </c>
      <c r="D247" s="116"/>
      <c r="E247" s="59"/>
      <c r="F247" s="32"/>
      <c r="G247" s="19"/>
      <c r="H247" s="19"/>
      <c r="I247" s="19">
        <f>653.01*1.1*1.1</f>
        <v>790.1421000000001</v>
      </c>
      <c r="J247" s="19">
        <f t="shared" si="50"/>
        <v>932.3676780000001</v>
      </c>
      <c r="K247" s="476"/>
      <c r="L247" s="477"/>
      <c r="M247" s="477"/>
      <c r="N247">
        <f t="shared" si="45"/>
        <v>192.71758536585372</v>
      </c>
    </row>
    <row r="248" spans="1:14" ht="25.5">
      <c r="A248" s="459"/>
      <c r="B248" s="472" t="s">
        <v>3107</v>
      </c>
      <c r="C248" s="209">
        <v>4.4</v>
      </c>
      <c r="D248" s="116"/>
      <c r="E248" s="59"/>
      <c r="F248" s="32"/>
      <c r="G248" s="19"/>
      <c r="H248" s="19"/>
      <c r="I248" s="19">
        <f>700.79*1.1*1.1</f>
        <v>847.9559000000002</v>
      </c>
      <c r="J248" s="19">
        <f t="shared" si="50"/>
        <v>1000.5879620000002</v>
      </c>
      <c r="K248" s="476"/>
      <c r="L248" s="477"/>
      <c r="M248" s="477"/>
      <c r="N248">
        <f t="shared" si="45"/>
        <v>192.71725</v>
      </c>
    </row>
    <row r="249" spans="1:14" ht="25.5">
      <c r="A249" s="459"/>
      <c r="B249" s="472" t="s">
        <v>3108</v>
      </c>
      <c r="C249" s="209">
        <v>4.7</v>
      </c>
      <c r="D249" s="116"/>
      <c r="E249" s="59"/>
      <c r="F249" s="32"/>
      <c r="G249" s="19"/>
      <c r="H249" s="19"/>
      <c r="I249" s="19">
        <f>748.57*1.1*1.1</f>
        <v>905.7697000000002</v>
      </c>
      <c r="J249" s="19">
        <f t="shared" si="50"/>
        <v>1068.808246</v>
      </c>
      <c r="K249" s="476"/>
      <c r="L249" s="477"/>
      <c r="M249" s="477"/>
      <c r="N249">
        <f t="shared" si="45"/>
        <v>192.71695744680855</v>
      </c>
    </row>
    <row r="250" spans="1:14" ht="25.5">
      <c r="A250" s="459"/>
      <c r="B250" s="472" t="s">
        <v>3109</v>
      </c>
      <c r="C250" s="209">
        <v>5</v>
      </c>
      <c r="D250" s="116"/>
      <c r="E250" s="59"/>
      <c r="F250" s="32"/>
      <c r="G250" s="19"/>
      <c r="H250" s="19"/>
      <c r="I250" s="19">
        <f>796.35*1.1*1.1</f>
        <v>963.5835000000002</v>
      </c>
      <c r="J250" s="19">
        <f t="shared" si="50"/>
        <v>1137.02853</v>
      </c>
      <c r="K250" s="476"/>
      <c r="L250" s="477"/>
      <c r="M250" s="477"/>
      <c r="N250">
        <f t="shared" si="45"/>
        <v>192.71670000000003</v>
      </c>
    </row>
    <row r="251" spans="1:14" ht="25.5">
      <c r="A251" s="459"/>
      <c r="B251" s="472" t="s">
        <v>3110</v>
      </c>
      <c r="C251" s="209">
        <v>5.3</v>
      </c>
      <c r="D251" s="116"/>
      <c r="E251" s="59"/>
      <c r="F251" s="32"/>
      <c r="G251" s="19"/>
      <c r="H251" s="19"/>
      <c r="I251" s="19">
        <f>844.14*1.1*1.1</f>
        <v>1021.4094000000002</v>
      </c>
      <c r="J251" s="19">
        <f t="shared" si="50"/>
        <v>1205.2630920000001</v>
      </c>
      <c r="K251" s="476"/>
      <c r="L251" s="477"/>
      <c r="M251" s="477"/>
      <c r="N251">
        <f t="shared" si="45"/>
        <v>192.71875471698118</v>
      </c>
    </row>
    <row r="252" spans="1:14" s="111" customFormat="1" ht="15" customHeight="1">
      <c r="A252" s="481" t="s">
        <v>775</v>
      </c>
      <c r="B252" s="949" t="s">
        <v>1491</v>
      </c>
      <c r="C252" s="949"/>
      <c r="D252" s="949"/>
      <c r="E252" s="949"/>
      <c r="F252" s="949"/>
      <c r="G252" s="949"/>
      <c r="H252" s="949"/>
      <c r="I252" s="949"/>
      <c r="J252" s="949"/>
      <c r="N252" t="e">
        <f t="shared" si="45"/>
        <v>#DIV/0!</v>
      </c>
    </row>
    <row r="253" spans="1:14" ht="38.25">
      <c r="A253" s="500" t="s">
        <v>1386</v>
      </c>
      <c r="B253" s="499" t="s">
        <v>1397</v>
      </c>
      <c r="C253" s="204"/>
      <c r="D253" s="40"/>
      <c r="E253" s="68"/>
      <c r="F253" s="32"/>
      <c r="G253" s="69"/>
      <c r="H253" s="32"/>
      <c r="I253" s="69"/>
      <c r="J253" s="32"/>
      <c r="K253" s="471"/>
      <c r="L253" s="471"/>
      <c r="M253" s="471"/>
      <c r="N253" t="e">
        <f t="shared" si="45"/>
        <v>#DIV/0!</v>
      </c>
    </row>
    <row r="254" spans="1:14" ht="12.75">
      <c r="A254" s="500" t="s">
        <v>1387</v>
      </c>
      <c r="B254" s="499" t="s">
        <v>1492</v>
      </c>
      <c r="C254" s="204" t="s">
        <v>1618</v>
      </c>
      <c r="D254" s="39" t="s">
        <v>1619</v>
      </c>
      <c r="E254" s="68">
        <f aca="true" t="shared" si="51" ref="E254:E260">C254*97.36*1.101</f>
        <v>128.63203199999998</v>
      </c>
      <c r="F254" s="32">
        <f aca="true" t="shared" si="52" ref="F254:F260">E254*1.18</f>
        <v>151.78579775999998</v>
      </c>
      <c r="G254" s="80">
        <f aca="true" t="shared" si="53" ref="G254:G355">E254*1.15*1.15</f>
        <v>170.11586231999993</v>
      </c>
      <c r="H254" s="19">
        <f aca="true" t="shared" si="54" ref="H254:H260">G254*1.18</f>
        <v>200.7367175375999</v>
      </c>
      <c r="I254" s="80">
        <f aca="true" t="shared" si="55" ref="I254:I260">G254*1.2*1.05*1.07*1.1*1.1</f>
        <v>277.513748751587</v>
      </c>
      <c r="J254" s="19">
        <f aca="true" t="shared" si="56" ref="J254:J260">I254*1.18</f>
        <v>327.4662235268726</v>
      </c>
      <c r="K254" s="470">
        <f aca="true" t="shared" si="57" ref="K254:K355">I254/G254</f>
        <v>1.6313220000000004</v>
      </c>
      <c r="L254" s="471"/>
      <c r="M254" s="471"/>
      <c r="N254">
        <f t="shared" si="45"/>
        <v>231.26145729298918</v>
      </c>
    </row>
    <row r="255" spans="1:14" ht="12.75">
      <c r="A255" s="500" t="s">
        <v>1388</v>
      </c>
      <c r="B255" s="499" t="s">
        <v>1493</v>
      </c>
      <c r="C255" s="204" t="s">
        <v>1060</v>
      </c>
      <c r="D255" s="39" t="s">
        <v>1494</v>
      </c>
      <c r="E255" s="68">
        <f t="shared" si="51"/>
        <v>160.79003999999998</v>
      </c>
      <c r="F255" s="32">
        <f t="shared" si="52"/>
        <v>189.73224719999996</v>
      </c>
      <c r="G255" s="80">
        <f t="shared" si="53"/>
        <v>212.6448278999999</v>
      </c>
      <c r="H255" s="19">
        <f t="shared" si="54"/>
        <v>250.92089692199988</v>
      </c>
      <c r="I255" s="80">
        <f t="shared" si="55"/>
        <v>346.89218593948374</v>
      </c>
      <c r="J255" s="19">
        <f t="shared" si="56"/>
        <v>409.3327794085908</v>
      </c>
      <c r="K255" s="470">
        <f t="shared" si="57"/>
        <v>1.6313220000000004</v>
      </c>
      <c r="L255" s="471"/>
      <c r="M255" s="471"/>
      <c r="N255">
        <f t="shared" si="45"/>
        <v>231.26145729298915</v>
      </c>
    </row>
    <row r="256" spans="1:14" ht="12.75">
      <c r="A256" s="500" t="s">
        <v>1389</v>
      </c>
      <c r="B256" s="499" t="s">
        <v>1548</v>
      </c>
      <c r="C256" s="204">
        <v>0.5</v>
      </c>
      <c r="D256" s="39" t="s">
        <v>1055</v>
      </c>
      <c r="E256" s="68">
        <f t="shared" si="51"/>
        <v>53.59668</v>
      </c>
      <c r="F256" s="32">
        <f t="shared" si="52"/>
        <v>63.244082399999996</v>
      </c>
      <c r="G256" s="80">
        <f t="shared" si="53"/>
        <v>70.88160929999998</v>
      </c>
      <c r="H256" s="19">
        <f t="shared" si="54"/>
        <v>83.64029897399998</v>
      </c>
      <c r="I256" s="80">
        <f t="shared" si="55"/>
        <v>115.63072864649459</v>
      </c>
      <c r="J256" s="19">
        <f t="shared" si="56"/>
        <v>136.4442598028636</v>
      </c>
      <c r="K256" s="470">
        <f t="shared" si="57"/>
        <v>1.6313220000000004</v>
      </c>
      <c r="L256" s="471"/>
      <c r="M256" s="471"/>
      <c r="N256">
        <f t="shared" si="45"/>
        <v>231.26145729298918</v>
      </c>
    </row>
    <row r="257" spans="1:14" s="111" customFormat="1" ht="25.5">
      <c r="A257" s="500" t="s">
        <v>1390</v>
      </c>
      <c r="B257" s="499" t="s">
        <v>1541</v>
      </c>
      <c r="C257" s="204">
        <v>0.5</v>
      </c>
      <c r="D257" s="39" t="s">
        <v>1055</v>
      </c>
      <c r="E257" s="68">
        <f t="shared" si="51"/>
        <v>53.59668</v>
      </c>
      <c r="F257" s="32">
        <f t="shared" si="52"/>
        <v>63.244082399999996</v>
      </c>
      <c r="G257" s="80">
        <f t="shared" si="53"/>
        <v>70.88160929999998</v>
      </c>
      <c r="H257" s="19">
        <f t="shared" si="54"/>
        <v>83.64029897399998</v>
      </c>
      <c r="I257" s="80">
        <f t="shared" si="55"/>
        <v>115.63072864649459</v>
      </c>
      <c r="J257" s="19">
        <f t="shared" si="56"/>
        <v>136.4442598028636</v>
      </c>
      <c r="K257" s="470">
        <f t="shared" si="57"/>
        <v>1.6313220000000004</v>
      </c>
      <c r="L257" s="471"/>
      <c r="M257" s="471"/>
      <c r="N257">
        <f t="shared" si="45"/>
        <v>231.26145729298918</v>
      </c>
    </row>
    <row r="258" spans="1:14" ht="12.75">
      <c r="A258" s="500" t="s">
        <v>1391</v>
      </c>
      <c r="B258" s="499" t="s">
        <v>1064</v>
      </c>
      <c r="C258" s="204" t="s">
        <v>1684</v>
      </c>
      <c r="D258" s="39" t="s">
        <v>1685</v>
      </c>
      <c r="E258" s="68">
        <f t="shared" si="51"/>
        <v>321.58007999999995</v>
      </c>
      <c r="F258" s="32">
        <f t="shared" si="52"/>
        <v>379.4644943999999</v>
      </c>
      <c r="G258" s="80">
        <f t="shared" si="53"/>
        <v>425.2896557999998</v>
      </c>
      <c r="H258" s="19">
        <f t="shared" si="54"/>
        <v>501.84179384399977</v>
      </c>
      <c r="I258" s="80">
        <f t="shared" si="55"/>
        <v>693.7843718789675</v>
      </c>
      <c r="J258" s="19">
        <f t="shared" si="56"/>
        <v>818.6655588171816</v>
      </c>
      <c r="K258" s="476">
        <f t="shared" si="57"/>
        <v>1.6313220000000004</v>
      </c>
      <c r="L258" s="477"/>
      <c r="M258" s="477"/>
      <c r="N258">
        <f t="shared" si="45"/>
        <v>231.26145729298915</v>
      </c>
    </row>
    <row r="259" spans="1:14" ht="12.75">
      <c r="A259" s="500" t="s">
        <v>1392</v>
      </c>
      <c r="B259" s="499" t="s">
        <v>798</v>
      </c>
      <c r="C259" s="204" t="s">
        <v>1684</v>
      </c>
      <c r="D259" s="39" t="s">
        <v>1685</v>
      </c>
      <c r="E259" s="68">
        <f t="shared" si="51"/>
        <v>321.58007999999995</v>
      </c>
      <c r="F259" s="32">
        <f t="shared" si="52"/>
        <v>379.4644943999999</v>
      </c>
      <c r="G259" s="80">
        <f t="shared" si="53"/>
        <v>425.2896557999998</v>
      </c>
      <c r="H259" s="19">
        <f t="shared" si="54"/>
        <v>501.84179384399977</v>
      </c>
      <c r="I259" s="80">
        <f t="shared" si="55"/>
        <v>693.7843718789675</v>
      </c>
      <c r="J259" s="19">
        <f t="shared" si="56"/>
        <v>818.6655588171816</v>
      </c>
      <c r="K259" s="476">
        <f t="shared" si="57"/>
        <v>1.6313220000000004</v>
      </c>
      <c r="L259" s="477"/>
      <c r="M259" s="477"/>
      <c r="N259">
        <f t="shared" si="45"/>
        <v>231.26145729298915</v>
      </c>
    </row>
    <row r="260" spans="1:14" ht="12.75">
      <c r="A260" s="500" t="s">
        <v>1393</v>
      </c>
      <c r="B260" s="499" t="s">
        <v>1031</v>
      </c>
      <c r="C260" s="204" t="s">
        <v>2392</v>
      </c>
      <c r="D260" s="39" t="s">
        <v>2393</v>
      </c>
      <c r="E260" s="68">
        <f t="shared" si="51"/>
        <v>267.9834</v>
      </c>
      <c r="F260" s="32">
        <f t="shared" si="52"/>
        <v>316.220412</v>
      </c>
      <c r="G260" s="80">
        <f t="shared" si="53"/>
        <v>354.40804649999995</v>
      </c>
      <c r="H260" s="19">
        <f t="shared" si="54"/>
        <v>418.2014948699999</v>
      </c>
      <c r="I260" s="80">
        <f t="shared" si="55"/>
        <v>578.1536432324731</v>
      </c>
      <c r="J260" s="19">
        <f t="shared" si="56"/>
        <v>682.2212990143182</v>
      </c>
      <c r="K260" s="476">
        <f t="shared" si="57"/>
        <v>1.6313220000000004</v>
      </c>
      <c r="L260" s="477"/>
      <c r="M260" s="477"/>
      <c r="N260">
        <f t="shared" si="45"/>
        <v>231.26145729298923</v>
      </c>
    </row>
    <row r="261" spans="1:14" ht="12.75">
      <c r="A261" s="500" t="s">
        <v>1394</v>
      </c>
      <c r="B261" s="499" t="s">
        <v>1495</v>
      </c>
      <c r="C261" s="204"/>
      <c r="D261" s="40"/>
      <c r="E261" s="68"/>
      <c r="F261" s="32"/>
      <c r="G261" s="80"/>
      <c r="H261" s="19"/>
      <c r="I261" s="80"/>
      <c r="J261" s="19"/>
      <c r="K261" s="94"/>
      <c r="N261" t="e">
        <f t="shared" si="45"/>
        <v>#DIV/0!</v>
      </c>
    </row>
    <row r="262" spans="1:14" ht="12.75">
      <c r="A262" s="500" t="s">
        <v>1401</v>
      </c>
      <c r="B262" s="499" t="s">
        <v>1496</v>
      </c>
      <c r="C262" s="204" t="s">
        <v>2318</v>
      </c>
      <c r="D262" s="39" t="s">
        <v>2319</v>
      </c>
      <c r="E262" s="68">
        <f aca="true" t="shared" si="58" ref="E262:E274">C262*97.36*1.101</f>
        <v>375.17676</v>
      </c>
      <c r="F262" s="32">
        <f aca="true" t="shared" si="59" ref="F262:F274">E262*1.18</f>
        <v>442.7085768</v>
      </c>
      <c r="G262" s="80">
        <f t="shared" si="53"/>
        <v>496.1712650999999</v>
      </c>
      <c r="H262" s="19">
        <f aca="true" t="shared" si="60" ref="H262:H274">G262*1.18</f>
        <v>585.4820928179998</v>
      </c>
      <c r="I262" s="80">
        <f aca="true" t="shared" si="61" ref="I262:I274">G262*1.2*1.05*1.07*1.1*1.1</f>
        <v>809.4151005254622</v>
      </c>
      <c r="J262" s="19">
        <f aca="true" t="shared" si="62" ref="J262:J306">I262*1.18</f>
        <v>955.1098186200453</v>
      </c>
      <c r="K262" s="476">
        <f t="shared" si="57"/>
        <v>1.6313220000000004</v>
      </c>
      <c r="L262" s="477"/>
      <c r="M262" s="477"/>
      <c r="N262">
        <f t="shared" si="45"/>
        <v>231.2614572929892</v>
      </c>
    </row>
    <row r="263" spans="1:14" ht="12.75">
      <c r="A263" s="500" t="s">
        <v>1402</v>
      </c>
      <c r="B263" s="499" t="s">
        <v>2320</v>
      </c>
      <c r="C263" s="204">
        <v>1.7</v>
      </c>
      <c r="D263" s="39" t="s">
        <v>2393</v>
      </c>
      <c r="E263" s="68">
        <f t="shared" si="58"/>
        <v>182.228712</v>
      </c>
      <c r="F263" s="32">
        <f t="shared" si="59"/>
        <v>215.02988016</v>
      </c>
      <c r="G263" s="80">
        <f t="shared" si="53"/>
        <v>240.99747161999997</v>
      </c>
      <c r="H263" s="19">
        <f t="shared" si="60"/>
        <v>284.37701651159995</v>
      </c>
      <c r="I263" s="80">
        <f t="shared" si="61"/>
        <v>393.14447739808156</v>
      </c>
      <c r="J263" s="19">
        <f t="shared" si="62"/>
        <v>463.9104833297362</v>
      </c>
      <c r="K263" s="476">
        <f t="shared" si="57"/>
        <v>1.631322</v>
      </c>
      <c r="L263" s="477"/>
      <c r="M263" s="477"/>
      <c r="N263">
        <f t="shared" si="45"/>
        <v>231.26145729298915</v>
      </c>
    </row>
    <row r="264" spans="1:14" ht="12.75">
      <c r="A264" s="500" t="s">
        <v>1403</v>
      </c>
      <c r="B264" s="499" t="s">
        <v>800</v>
      </c>
      <c r="C264" s="204">
        <v>1.7</v>
      </c>
      <c r="D264" s="39" t="s">
        <v>2393</v>
      </c>
      <c r="E264" s="68">
        <f t="shared" si="58"/>
        <v>182.228712</v>
      </c>
      <c r="F264" s="32">
        <f t="shared" si="59"/>
        <v>215.02988016</v>
      </c>
      <c r="G264" s="80">
        <f t="shared" si="53"/>
        <v>240.99747161999997</v>
      </c>
      <c r="H264" s="19">
        <f t="shared" si="60"/>
        <v>284.37701651159995</v>
      </c>
      <c r="I264" s="80">
        <f t="shared" si="61"/>
        <v>393.14447739808156</v>
      </c>
      <c r="J264" s="19">
        <f t="shared" si="62"/>
        <v>463.9104833297362</v>
      </c>
      <c r="K264" s="476">
        <f t="shared" si="57"/>
        <v>1.631322</v>
      </c>
      <c r="L264" s="477"/>
      <c r="M264" s="477"/>
      <c r="N264">
        <f t="shared" si="45"/>
        <v>231.26145729298915</v>
      </c>
    </row>
    <row r="265" spans="1:14" s="111" customFormat="1" ht="15" customHeight="1">
      <c r="A265" s="500" t="s">
        <v>1404</v>
      </c>
      <c r="B265" s="499" t="s">
        <v>801</v>
      </c>
      <c r="C265" s="204">
        <v>2</v>
      </c>
      <c r="D265" s="39" t="s">
        <v>2393</v>
      </c>
      <c r="E265" s="68">
        <f t="shared" si="58"/>
        <v>214.38672</v>
      </c>
      <c r="F265" s="32">
        <f t="shared" si="59"/>
        <v>252.97632959999999</v>
      </c>
      <c r="G265" s="80">
        <f t="shared" si="53"/>
        <v>283.5264371999999</v>
      </c>
      <c r="H265" s="19">
        <f t="shared" si="60"/>
        <v>334.5611958959999</v>
      </c>
      <c r="I265" s="80">
        <f t="shared" si="61"/>
        <v>462.52291458597836</v>
      </c>
      <c r="J265" s="19">
        <f t="shared" si="62"/>
        <v>545.7770392114544</v>
      </c>
      <c r="K265" s="476">
        <f t="shared" si="57"/>
        <v>1.6313220000000004</v>
      </c>
      <c r="L265" s="477"/>
      <c r="M265" s="477"/>
      <c r="N265">
        <f t="shared" si="45"/>
        <v>231.26145729298918</v>
      </c>
    </row>
    <row r="266" spans="1:14" ht="12.75">
      <c r="A266" s="500" t="s">
        <v>1405</v>
      </c>
      <c r="B266" s="499" t="s">
        <v>802</v>
      </c>
      <c r="C266" s="204">
        <v>2</v>
      </c>
      <c r="D266" s="39" t="s">
        <v>2393</v>
      </c>
      <c r="E266" s="68">
        <f t="shared" si="58"/>
        <v>214.38672</v>
      </c>
      <c r="F266" s="32">
        <f t="shared" si="59"/>
        <v>252.97632959999999</v>
      </c>
      <c r="G266" s="80">
        <f t="shared" si="53"/>
        <v>283.5264371999999</v>
      </c>
      <c r="H266" s="19">
        <f t="shared" si="60"/>
        <v>334.5611958959999</v>
      </c>
      <c r="I266" s="80">
        <f t="shared" si="61"/>
        <v>462.52291458597836</v>
      </c>
      <c r="J266" s="19">
        <f t="shared" si="62"/>
        <v>545.7770392114544</v>
      </c>
      <c r="K266" s="476">
        <f t="shared" si="57"/>
        <v>1.6313220000000004</v>
      </c>
      <c r="L266" s="477"/>
      <c r="M266" s="477"/>
      <c r="N266">
        <f t="shared" si="45"/>
        <v>231.26145729298918</v>
      </c>
    </row>
    <row r="267" spans="1:14" ht="12.75">
      <c r="A267" s="500" t="s">
        <v>1406</v>
      </c>
      <c r="B267" s="499" t="s">
        <v>1534</v>
      </c>
      <c r="C267" s="204">
        <v>2</v>
      </c>
      <c r="D267" s="39" t="s">
        <v>2393</v>
      </c>
      <c r="E267" s="68">
        <f t="shared" si="58"/>
        <v>214.38672</v>
      </c>
      <c r="F267" s="32">
        <f t="shared" si="59"/>
        <v>252.97632959999999</v>
      </c>
      <c r="G267" s="80">
        <f t="shared" si="53"/>
        <v>283.5264371999999</v>
      </c>
      <c r="H267" s="19">
        <f t="shared" si="60"/>
        <v>334.5611958959999</v>
      </c>
      <c r="I267" s="80">
        <f t="shared" si="61"/>
        <v>462.52291458597836</v>
      </c>
      <c r="J267" s="19">
        <f t="shared" si="62"/>
        <v>545.7770392114544</v>
      </c>
      <c r="K267" s="94">
        <f t="shared" si="57"/>
        <v>1.6313220000000004</v>
      </c>
      <c r="N267">
        <f t="shared" si="45"/>
        <v>231.26145729298918</v>
      </c>
    </row>
    <row r="268" spans="1:14" ht="12.75">
      <c r="A268" s="500" t="s">
        <v>1407</v>
      </c>
      <c r="B268" s="499" t="s">
        <v>1535</v>
      </c>
      <c r="C268" s="204">
        <v>1.7</v>
      </c>
      <c r="D268" s="39" t="s">
        <v>539</v>
      </c>
      <c r="E268" s="68">
        <f t="shared" si="58"/>
        <v>182.228712</v>
      </c>
      <c r="F268" s="32">
        <f t="shared" si="59"/>
        <v>215.02988016</v>
      </c>
      <c r="G268" s="80">
        <f t="shared" si="53"/>
        <v>240.99747161999997</v>
      </c>
      <c r="H268" s="19">
        <f t="shared" si="60"/>
        <v>284.37701651159995</v>
      </c>
      <c r="I268" s="80">
        <f t="shared" si="61"/>
        <v>393.14447739808156</v>
      </c>
      <c r="J268" s="19">
        <f t="shared" si="62"/>
        <v>463.9104833297362</v>
      </c>
      <c r="K268" s="476">
        <f t="shared" si="57"/>
        <v>1.631322</v>
      </c>
      <c r="L268" s="477"/>
      <c r="M268" s="477"/>
      <c r="N268">
        <f t="shared" si="45"/>
        <v>231.26145729298915</v>
      </c>
    </row>
    <row r="269" spans="1:14" ht="12.75">
      <c r="A269" s="500" t="s">
        <v>1408</v>
      </c>
      <c r="B269" s="499" t="s">
        <v>1536</v>
      </c>
      <c r="C269" s="204" t="s">
        <v>2508</v>
      </c>
      <c r="D269" s="39" t="s">
        <v>2509</v>
      </c>
      <c r="E269" s="68">
        <f t="shared" si="58"/>
        <v>214.38672</v>
      </c>
      <c r="F269" s="32">
        <f t="shared" si="59"/>
        <v>252.97632959999999</v>
      </c>
      <c r="G269" s="80">
        <f t="shared" si="53"/>
        <v>283.5264371999999</v>
      </c>
      <c r="H269" s="19">
        <f t="shared" si="60"/>
        <v>334.5611958959999</v>
      </c>
      <c r="I269" s="80">
        <f t="shared" si="61"/>
        <v>462.52291458597836</v>
      </c>
      <c r="J269" s="19">
        <f t="shared" si="62"/>
        <v>545.7770392114544</v>
      </c>
      <c r="K269" s="94">
        <f t="shared" si="57"/>
        <v>1.6313220000000004</v>
      </c>
      <c r="N269">
        <f t="shared" si="45"/>
        <v>231.26145729298918</v>
      </c>
    </row>
    <row r="270" spans="1:14" ht="12.75">
      <c r="A270" s="500" t="s">
        <v>1409</v>
      </c>
      <c r="B270" s="499" t="s">
        <v>1537</v>
      </c>
      <c r="C270" s="204">
        <v>1.7</v>
      </c>
      <c r="D270" s="39" t="s">
        <v>1685</v>
      </c>
      <c r="E270" s="68">
        <f t="shared" si="58"/>
        <v>182.228712</v>
      </c>
      <c r="F270" s="32">
        <f t="shared" si="59"/>
        <v>215.02988016</v>
      </c>
      <c r="G270" s="80">
        <f t="shared" si="53"/>
        <v>240.99747161999997</v>
      </c>
      <c r="H270" s="19">
        <f t="shared" si="60"/>
        <v>284.37701651159995</v>
      </c>
      <c r="I270" s="80">
        <f t="shared" si="61"/>
        <v>393.14447739808156</v>
      </c>
      <c r="J270" s="19">
        <f t="shared" si="62"/>
        <v>463.9104833297362</v>
      </c>
      <c r="K270" s="94">
        <f t="shared" si="57"/>
        <v>1.631322</v>
      </c>
      <c r="N270">
        <f t="shared" si="45"/>
        <v>231.26145729298915</v>
      </c>
    </row>
    <row r="271" spans="1:14" ht="38.25">
      <c r="A271" s="500" t="s">
        <v>1395</v>
      </c>
      <c r="B271" s="499" t="s">
        <v>1538</v>
      </c>
      <c r="C271" s="204">
        <v>1</v>
      </c>
      <c r="D271" s="39" t="s">
        <v>2509</v>
      </c>
      <c r="E271" s="68">
        <f t="shared" si="58"/>
        <v>107.19336</v>
      </c>
      <c r="F271" s="32">
        <f t="shared" si="59"/>
        <v>126.48816479999999</v>
      </c>
      <c r="G271" s="80">
        <f t="shared" si="53"/>
        <v>141.76321859999996</v>
      </c>
      <c r="H271" s="19">
        <f t="shared" si="60"/>
        <v>167.28059794799995</v>
      </c>
      <c r="I271" s="80">
        <f t="shared" si="61"/>
        <v>231.26145729298918</v>
      </c>
      <c r="J271" s="19">
        <f t="shared" si="62"/>
        <v>272.8885196057272</v>
      </c>
      <c r="K271" s="94">
        <f t="shared" si="57"/>
        <v>1.6313220000000004</v>
      </c>
      <c r="N271">
        <f t="shared" si="45"/>
        <v>231.26145729298918</v>
      </c>
    </row>
    <row r="272" spans="1:14" ht="12.75">
      <c r="A272" s="500" t="s">
        <v>1396</v>
      </c>
      <c r="B272" s="499" t="s">
        <v>1442</v>
      </c>
      <c r="C272" s="204">
        <v>1.2</v>
      </c>
      <c r="D272" s="39" t="s">
        <v>1685</v>
      </c>
      <c r="E272" s="68">
        <f t="shared" si="58"/>
        <v>128.63203199999998</v>
      </c>
      <c r="F272" s="32">
        <f t="shared" si="59"/>
        <v>151.78579775999998</v>
      </c>
      <c r="G272" s="80">
        <f t="shared" si="53"/>
        <v>170.11586231999993</v>
      </c>
      <c r="H272" s="19">
        <f t="shared" si="60"/>
        <v>200.7367175375999</v>
      </c>
      <c r="I272" s="80">
        <f t="shared" si="61"/>
        <v>277.513748751587</v>
      </c>
      <c r="J272" s="19">
        <f t="shared" si="62"/>
        <v>327.4662235268726</v>
      </c>
      <c r="K272" s="94">
        <f t="shared" si="57"/>
        <v>1.6313220000000004</v>
      </c>
      <c r="N272">
        <f t="shared" si="45"/>
        <v>231.26145729298918</v>
      </c>
    </row>
    <row r="273" spans="1:14" ht="12.75">
      <c r="A273" s="500" t="s">
        <v>1410</v>
      </c>
      <c r="B273" s="499" t="s">
        <v>1091</v>
      </c>
      <c r="C273" s="204">
        <v>1.2</v>
      </c>
      <c r="D273" s="39" t="s">
        <v>1539</v>
      </c>
      <c r="E273" s="68">
        <f t="shared" si="58"/>
        <v>128.63203199999998</v>
      </c>
      <c r="F273" s="32">
        <f t="shared" si="59"/>
        <v>151.78579775999998</v>
      </c>
      <c r="G273" s="80">
        <f t="shared" si="53"/>
        <v>170.11586231999993</v>
      </c>
      <c r="H273" s="19">
        <f t="shared" si="60"/>
        <v>200.7367175375999</v>
      </c>
      <c r="I273" s="80">
        <f t="shared" si="61"/>
        <v>277.513748751587</v>
      </c>
      <c r="J273" s="19">
        <f t="shared" si="62"/>
        <v>327.4662235268726</v>
      </c>
      <c r="K273" s="94">
        <f t="shared" si="57"/>
        <v>1.6313220000000004</v>
      </c>
      <c r="N273">
        <f aca="true" t="shared" si="63" ref="N273:N336">I273/C273</f>
        <v>231.26145729298918</v>
      </c>
    </row>
    <row r="274" spans="1:14" s="111" customFormat="1" ht="16.5" customHeight="1">
      <c r="A274" s="500" t="s">
        <v>1398</v>
      </c>
      <c r="B274" s="499" t="s">
        <v>1088</v>
      </c>
      <c r="C274" s="204">
        <v>1.2</v>
      </c>
      <c r="D274" s="39" t="s">
        <v>1685</v>
      </c>
      <c r="E274" s="68">
        <f t="shared" si="58"/>
        <v>128.63203199999998</v>
      </c>
      <c r="F274" s="32">
        <f t="shared" si="59"/>
        <v>151.78579775999998</v>
      </c>
      <c r="G274" s="80">
        <f t="shared" si="53"/>
        <v>170.11586231999993</v>
      </c>
      <c r="H274" s="19">
        <f t="shared" si="60"/>
        <v>200.7367175375999</v>
      </c>
      <c r="I274" s="80">
        <f t="shared" si="61"/>
        <v>277.513748751587</v>
      </c>
      <c r="J274" s="19">
        <f t="shared" si="62"/>
        <v>327.4662235268726</v>
      </c>
      <c r="K274" s="94">
        <f t="shared" si="57"/>
        <v>1.6313220000000004</v>
      </c>
      <c r="L274"/>
      <c r="M274"/>
      <c r="N274">
        <f t="shared" si="63"/>
        <v>231.26145729298918</v>
      </c>
    </row>
    <row r="275" spans="1:14" ht="51">
      <c r="A275" s="473" t="s">
        <v>1399</v>
      </c>
      <c r="B275" s="472" t="s">
        <v>3111</v>
      </c>
      <c r="C275" s="209">
        <v>5.9</v>
      </c>
      <c r="D275" s="116"/>
      <c r="E275" s="59"/>
      <c r="F275" s="32"/>
      <c r="G275" s="19"/>
      <c r="H275" s="19"/>
      <c r="I275" s="19">
        <f>557.45*1.1*1.1</f>
        <v>674.5145000000001</v>
      </c>
      <c r="J275" s="19">
        <f t="shared" si="62"/>
        <v>795.9271100000001</v>
      </c>
      <c r="K275" s="60"/>
      <c r="L275" s="61"/>
      <c r="M275" s="97"/>
      <c r="N275">
        <f t="shared" si="63"/>
        <v>114.32449152542374</v>
      </c>
    </row>
    <row r="276" spans="1:14" ht="25.5">
      <c r="A276" s="459"/>
      <c r="B276" s="472" t="s">
        <v>3112</v>
      </c>
      <c r="C276" s="209">
        <v>3.5</v>
      </c>
      <c r="D276" s="116"/>
      <c r="E276" s="59"/>
      <c r="F276" s="32"/>
      <c r="G276" s="19"/>
      <c r="H276" s="19"/>
      <c r="I276" s="19">
        <f>557.45*1.1*1.1</f>
        <v>674.5145000000001</v>
      </c>
      <c r="J276" s="19">
        <f t="shared" si="62"/>
        <v>795.9271100000001</v>
      </c>
      <c r="K276" s="60"/>
      <c r="L276" s="61"/>
      <c r="M276" s="97"/>
      <c r="N276">
        <f t="shared" si="63"/>
        <v>192.7184285714286</v>
      </c>
    </row>
    <row r="277" spans="1:14" ht="25.5">
      <c r="A277" s="459"/>
      <c r="B277" s="472" t="s">
        <v>3113</v>
      </c>
      <c r="C277" s="209">
        <v>3.8</v>
      </c>
      <c r="D277" s="116"/>
      <c r="E277" s="59"/>
      <c r="F277" s="32"/>
      <c r="G277" s="19"/>
      <c r="H277" s="19"/>
      <c r="I277" s="19">
        <f>605.23*1.1*1.1</f>
        <v>732.3283000000001</v>
      </c>
      <c r="J277" s="19">
        <f t="shared" si="62"/>
        <v>864.1473940000001</v>
      </c>
      <c r="K277" s="60"/>
      <c r="L277" s="61"/>
      <c r="M277" s="97"/>
      <c r="N277">
        <f t="shared" si="63"/>
        <v>192.71797368421056</v>
      </c>
    </row>
    <row r="278" spans="1:14" ht="25.5">
      <c r="A278" s="459"/>
      <c r="B278" s="472" t="s">
        <v>3114</v>
      </c>
      <c r="C278" s="209">
        <v>4.1</v>
      </c>
      <c r="D278" s="116"/>
      <c r="E278" s="59"/>
      <c r="F278" s="32"/>
      <c r="G278" s="19"/>
      <c r="H278" s="19"/>
      <c r="I278" s="19">
        <f>653.01*1.1*1.1</f>
        <v>790.1421000000001</v>
      </c>
      <c r="J278" s="19">
        <f>I278*1.18</f>
        <v>932.3676780000001</v>
      </c>
      <c r="K278" s="60"/>
      <c r="L278" s="61"/>
      <c r="M278" s="97"/>
      <c r="N278">
        <f t="shared" si="63"/>
        <v>192.71758536585372</v>
      </c>
    </row>
    <row r="279" spans="1:14" ht="25.5">
      <c r="A279" s="459"/>
      <c r="B279" s="472" t="s">
        <v>3115</v>
      </c>
      <c r="C279" s="209">
        <v>4.4</v>
      </c>
      <c r="D279" s="116"/>
      <c r="E279" s="59"/>
      <c r="F279" s="32"/>
      <c r="G279" s="19"/>
      <c r="H279" s="19"/>
      <c r="I279" s="19">
        <f>700.79*1.1*1.1</f>
        <v>847.9559000000002</v>
      </c>
      <c r="J279" s="19">
        <f t="shared" si="62"/>
        <v>1000.5879620000002</v>
      </c>
      <c r="K279" s="60"/>
      <c r="L279" s="61"/>
      <c r="M279" s="97"/>
      <c r="N279">
        <f t="shared" si="63"/>
        <v>192.71725</v>
      </c>
    </row>
    <row r="280" spans="1:14" ht="25.5">
      <c r="A280" s="459"/>
      <c r="B280" s="472" t="s">
        <v>3116</v>
      </c>
      <c r="C280" s="209">
        <v>4.7</v>
      </c>
      <c r="D280" s="116"/>
      <c r="E280" s="59"/>
      <c r="F280" s="32"/>
      <c r="G280" s="19"/>
      <c r="H280" s="19"/>
      <c r="I280" s="19">
        <f>748.57*1.1*1.1</f>
        <v>905.7697000000002</v>
      </c>
      <c r="J280" s="19">
        <f t="shared" si="62"/>
        <v>1068.808246</v>
      </c>
      <c r="K280" s="60"/>
      <c r="L280" s="61"/>
      <c r="M280" s="97"/>
      <c r="N280">
        <f t="shared" si="63"/>
        <v>192.71695744680855</v>
      </c>
    </row>
    <row r="281" spans="1:14" ht="25.5">
      <c r="A281" s="459"/>
      <c r="B281" s="472" t="s">
        <v>3117</v>
      </c>
      <c r="C281" s="209">
        <v>5</v>
      </c>
      <c r="D281" s="116"/>
      <c r="E281" s="59"/>
      <c r="F281" s="32"/>
      <c r="G281" s="19"/>
      <c r="H281" s="19"/>
      <c r="I281" s="19">
        <f>796.35*1.1*1.1</f>
        <v>963.5835000000002</v>
      </c>
      <c r="J281" s="19">
        <f t="shared" si="62"/>
        <v>1137.02853</v>
      </c>
      <c r="K281" s="60"/>
      <c r="L281" s="61"/>
      <c r="M281" s="97"/>
      <c r="N281">
        <f t="shared" si="63"/>
        <v>192.71670000000003</v>
      </c>
    </row>
    <row r="282" spans="1:14" ht="25.5">
      <c r="A282" s="459"/>
      <c r="B282" s="472" t="s">
        <v>3118</v>
      </c>
      <c r="C282" s="209">
        <v>5.3</v>
      </c>
      <c r="D282" s="116"/>
      <c r="E282" s="59">
        <f>C282*97.36*1.101</f>
        <v>568.1248079999999</v>
      </c>
      <c r="F282" s="32">
        <f>E282*1.18</f>
        <v>670.3872734399998</v>
      </c>
      <c r="G282" s="19">
        <v>844.14</v>
      </c>
      <c r="H282" s="19">
        <f>G282*1.18</f>
        <v>996.0852</v>
      </c>
      <c r="I282" s="19">
        <f>844.14*1.1*1.1</f>
        <v>1021.4094000000002</v>
      </c>
      <c r="J282" s="19">
        <f t="shared" si="62"/>
        <v>1205.2630920000001</v>
      </c>
      <c r="K282" s="60"/>
      <c r="L282" s="61"/>
      <c r="M282" s="97"/>
      <c r="N282">
        <f t="shared" si="63"/>
        <v>192.71875471698118</v>
      </c>
    </row>
    <row r="283" spans="1:14" ht="25.5">
      <c r="A283" s="459"/>
      <c r="B283" s="472" t="s">
        <v>3119</v>
      </c>
      <c r="C283" s="115">
        <v>5.6</v>
      </c>
      <c r="D283" s="116"/>
      <c r="E283" s="59"/>
      <c r="F283" s="32"/>
      <c r="G283" s="19"/>
      <c r="H283" s="19"/>
      <c r="I283" s="19">
        <f>891.92*1.1*1.1</f>
        <v>1079.2232000000001</v>
      </c>
      <c r="J283" s="19">
        <f t="shared" si="62"/>
        <v>1273.4833760000001</v>
      </c>
      <c r="K283" s="489"/>
      <c r="L283" s="369"/>
      <c r="M283" s="80"/>
      <c r="N283">
        <f t="shared" si="63"/>
        <v>192.7184285714286</v>
      </c>
    </row>
    <row r="284" spans="1:14" s="111" customFormat="1" ht="51">
      <c r="A284" s="459" t="s">
        <v>1400</v>
      </c>
      <c r="B284" s="472" t="s">
        <v>3038</v>
      </c>
      <c r="C284" s="209">
        <v>5.3</v>
      </c>
      <c r="D284" s="116"/>
      <c r="E284" s="59">
        <f>C284*97.36*1.101</f>
        <v>568.1248079999999</v>
      </c>
      <c r="F284" s="32">
        <f>E284*1.18</f>
        <v>670.3872734399998</v>
      </c>
      <c r="G284" s="19">
        <v>1035.26</v>
      </c>
      <c r="H284" s="19">
        <f>G284*1.18</f>
        <v>1221.6068</v>
      </c>
      <c r="I284" s="19">
        <f>844.14*1.1*1.1</f>
        <v>1021.4094000000002</v>
      </c>
      <c r="J284" s="19">
        <f>I284*1.18</f>
        <v>1205.2630920000001</v>
      </c>
      <c r="K284" s="489"/>
      <c r="L284" s="369"/>
      <c r="M284" s="80"/>
      <c r="N284">
        <f t="shared" si="63"/>
        <v>192.71875471698118</v>
      </c>
    </row>
    <row r="285" spans="1:14" ht="25.5">
      <c r="A285" s="459"/>
      <c r="B285" s="472" t="s">
        <v>3120</v>
      </c>
      <c r="C285" s="209">
        <v>3.5</v>
      </c>
      <c r="D285" s="116"/>
      <c r="E285" s="59"/>
      <c r="F285" s="32"/>
      <c r="G285" s="19"/>
      <c r="H285" s="19"/>
      <c r="I285" s="19">
        <f>557.45*1.1*1.1</f>
        <v>674.5145000000001</v>
      </c>
      <c r="J285" s="19">
        <f aca="true" t="shared" si="64" ref="J285:J290">I285*1.18</f>
        <v>795.9271100000001</v>
      </c>
      <c r="K285" s="489">
        <f aca="true" t="shared" si="65" ref="K285:K290">I285*97.36*1.101</f>
        <v>72303.47562372</v>
      </c>
      <c r="L285" s="369">
        <f aca="true" t="shared" si="66" ref="L285:L290">K285*1.18</f>
        <v>85318.1012359896</v>
      </c>
      <c r="M285" s="80">
        <v>557.45</v>
      </c>
      <c r="N285">
        <f t="shared" si="63"/>
        <v>192.7184285714286</v>
      </c>
    </row>
    <row r="286" spans="1:14" ht="25.5">
      <c r="A286" s="459"/>
      <c r="B286" s="472" t="s">
        <v>3121</v>
      </c>
      <c r="C286" s="209">
        <v>3.8</v>
      </c>
      <c r="D286" s="116"/>
      <c r="E286" s="59"/>
      <c r="F286" s="32"/>
      <c r="G286" s="19"/>
      <c r="H286" s="19"/>
      <c r="I286" s="19">
        <f>605.23*1.1*1.1</f>
        <v>732.3283000000001</v>
      </c>
      <c r="J286" s="19">
        <f t="shared" si="64"/>
        <v>864.1473940000001</v>
      </c>
      <c r="K286" s="489">
        <f t="shared" si="65"/>
        <v>78500.73110008801</v>
      </c>
      <c r="L286" s="369">
        <f t="shared" si="66"/>
        <v>92630.86269810385</v>
      </c>
      <c r="M286" s="80">
        <v>605.23</v>
      </c>
      <c r="N286">
        <f t="shared" si="63"/>
        <v>192.71797368421056</v>
      </c>
    </row>
    <row r="287" spans="1:14" ht="25.5">
      <c r="A287" s="459"/>
      <c r="B287" s="472" t="s">
        <v>3122</v>
      </c>
      <c r="C287" s="209">
        <v>4.1</v>
      </c>
      <c r="D287" s="116"/>
      <c r="E287" s="59"/>
      <c r="F287" s="32"/>
      <c r="G287" s="19"/>
      <c r="H287" s="19"/>
      <c r="I287" s="19">
        <f>653.01*1.1*1.1</f>
        <v>790.1421000000001</v>
      </c>
      <c r="J287" s="19">
        <f t="shared" si="64"/>
        <v>932.3676780000001</v>
      </c>
      <c r="K287" s="489">
        <f t="shared" si="65"/>
        <v>84697.98657645601</v>
      </c>
      <c r="L287" s="369">
        <f t="shared" si="66"/>
        <v>99943.62416021808</v>
      </c>
      <c r="M287" s="80">
        <v>653.01</v>
      </c>
      <c r="N287">
        <f t="shared" si="63"/>
        <v>192.71758536585372</v>
      </c>
    </row>
    <row r="288" spans="1:14" ht="25.5">
      <c r="A288" s="459"/>
      <c r="B288" s="472" t="s">
        <v>3123</v>
      </c>
      <c r="C288" s="209">
        <v>4.4</v>
      </c>
      <c r="D288" s="116"/>
      <c r="E288" s="59"/>
      <c r="F288" s="32"/>
      <c r="G288" s="19"/>
      <c r="H288" s="19"/>
      <c r="I288" s="19">
        <f>700.79*1.1*1.1</f>
        <v>847.9559000000002</v>
      </c>
      <c r="J288" s="19">
        <f t="shared" si="64"/>
        <v>1000.5879620000002</v>
      </c>
      <c r="K288" s="489">
        <f t="shared" si="65"/>
        <v>90895.24205282402</v>
      </c>
      <c r="L288" s="369">
        <f t="shared" si="66"/>
        <v>107256.38562233234</v>
      </c>
      <c r="M288" s="80">
        <v>700.79</v>
      </c>
      <c r="N288">
        <f t="shared" si="63"/>
        <v>192.71725</v>
      </c>
    </row>
    <row r="289" spans="1:14" s="111" customFormat="1" ht="25.5" customHeight="1">
      <c r="A289" s="459"/>
      <c r="B289" s="472" t="s">
        <v>3124</v>
      </c>
      <c r="C289" s="209">
        <v>4.7</v>
      </c>
      <c r="D289" s="116"/>
      <c r="E289" s="59"/>
      <c r="F289" s="32"/>
      <c r="G289" s="19"/>
      <c r="H289" s="19"/>
      <c r="I289" s="19">
        <f>748.57*1.1*1.1</f>
        <v>905.7697000000002</v>
      </c>
      <c r="J289" s="19">
        <f t="shared" si="64"/>
        <v>1068.808246</v>
      </c>
      <c r="K289" s="489">
        <f t="shared" si="65"/>
        <v>97092.49752919201</v>
      </c>
      <c r="L289" s="369">
        <f t="shared" si="66"/>
        <v>114569.14708444657</v>
      </c>
      <c r="M289" s="80">
        <v>748.57</v>
      </c>
      <c r="N289">
        <f t="shared" si="63"/>
        <v>192.71695744680855</v>
      </c>
    </row>
    <row r="290" spans="1:14" ht="25.5">
      <c r="A290" s="459"/>
      <c r="B290" s="472" t="s">
        <v>3125</v>
      </c>
      <c r="C290" s="209">
        <v>5</v>
      </c>
      <c r="D290" s="116"/>
      <c r="E290" s="59"/>
      <c r="F290" s="32"/>
      <c r="G290" s="19"/>
      <c r="H290" s="19"/>
      <c r="I290" s="19">
        <f>796.35*1.1*1.1</f>
        <v>963.5835000000002</v>
      </c>
      <c r="J290" s="19">
        <f t="shared" si="64"/>
        <v>1137.02853</v>
      </c>
      <c r="K290" s="489">
        <f t="shared" si="65"/>
        <v>103289.75300556002</v>
      </c>
      <c r="L290" s="369">
        <f t="shared" si="66"/>
        <v>121881.90854656082</v>
      </c>
      <c r="M290" s="80">
        <v>796.35</v>
      </c>
      <c r="N290">
        <f t="shared" si="63"/>
        <v>192.71670000000003</v>
      </c>
    </row>
    <row r="291" spans="1:14" ht="63.75">
      <c r="A291" s="459" t="s">
        <v>3126</v>
      </c>
      <c r="B291" s="472" t="s">
        <v>3045</v>
      </c>
      <c r="C291" s="209">
        <v>5.3</v>
      </c>
      <c r="D291" s="116"/>
      <c r="E291" s="59">
        <f>C291*97.36*1.101</f>
        <v>568.1248079999999</v>
      </c>
      <c r="F291" s="32">
        <f>E291*1.18</f>
        <v>670.3872734399998</v>
      </c>
      <c r="G291" s="19">
        <v>1035.26</v>
      </c>
      <c r="H291" s="19">
        <f>G291*1.18</f>
        <v>1221.6068</v>
      </c>
      <c r="I291" s="19">
        <f>844.14*1.1*1.1</f>
        <v>1021.4094000000002</v>
      </c>
      <c r="J291" s="19">
        <f>I291*1.18</f>
        <v>1205.2630920000001</v>
      </c>
      <c r="K291" s="476"/>
      <c r="L291" s="477"/>
      <c r="M291" s="477"/>
      <c r="N291">
        <f t="shared" si="63"/>
        <v>192.71875471698118</v>
      </c>
    </row>
    <row r="292" spans="1:14" ht="25.5">
      <c r="A292" s="459"/>
      <c r="B292" s="472" t="s">
        <v>3127</v>
      </c>
      <c r="C292" s="209">
        <v>3.5</v>
      </c>
      <c r="D292" s="116"/>
      <c r="E292" s="59"/>
      <c r="F292" s="32"/>
      <c r="G292" s="19"/>
      <c r="H292" s="19"/>
      <c r="I292" s="19">
        <f>557.45*1.1*1.1</f>
        <v>674.5145000000001</v>
      </c>
      <c r="J292" s="19">
        <f aca="true" t="shared" si="67" ref="J292:J297">I292*1.18</f>
        <v>795.9271100000001</v>
      </c>
      <c r="K292" s="476"/>
      <c r="L292" s="477"/>
      <c r="M292" s="477"/>
      <c r="N292">
        <f t="shared" si="63"/>
        <v>192.7184285714286</v>
      </c>
    </row>
    <row r="293" spans="1:14" ht="25.5">
      <c r="A293" s="459"/>
      <c r="B293" s="472" t="s">
        <v>3128</v>
      </c>
      <c r="C293" s="209">
        <v>3.8</v>
      </c>
      <c r="D293" s="116"/>
      <c r="E293" s="59"/>
      <c r="F293" s="32"/>
      <c r="G293" s="19"/>
      <c r="H293" s="19"/>
      <c r="I293" s="19">
        <f>605.23*1.1*1.1</f>
        <v>732.3283000000001</v>
      </c>
      <c r="J293" s="19">
        <f t="shared" si="67"/>
        <v>864.1473940000001</v>
      </c>
      <c r="K293" s="476"/>
      <c r="L293" s="477"/>
      <c r="M293" s="477"/>
      <c r="N293">
        <f t="shared" si="63"/>
        <v>192.71797368421056</v>
      </c>
    </row>
    <row r="294" spans="1:14" ht="25.5">
      <c r="A294" s="459"/>
      <c r="B294" s="472" t="s">
        <v>3129</v>
      </c>
      <c r="C294" s="209">
        <v>4.1</v>
      </c>
      <c r="D294" s="116"/>
      <c r="E294" s="59"/>
      <c r="F294" s="32"/>
      <c r="G294" s="19"/>
      <c r="H294" s="19"/>
      <c r="I294" s="19">
        <f>653.01*1.1*1.1</f>
        <v>790.1421000000001</v>
      </c>
      <c r="J294" s="19">
        <f t="shared" si="67"/>
        <v>932.3676780000001</v>
      </c>
      <c r="K294" s="476"/>
      <c r="L294" s="477"/>
      <c r="M294" s="477"/>
      <c r="N294">
        <f t="shared" si="63"/>
        <v>192.71758536585372</v>
      </c>
    </row>
    <row r="295" spans="1:14" ht="25.5">
      <c r="A295" s="459"/>
      <c r="B295" s="472" t="s">
        <v>3130</v>
      </c>
      <c r="C295" s="209">
        <v>4.4</v>
      </c>
      <c r="D295" s="116"/>
      <c r="E295" s="59"/>
      <c r="F295" s="32"/>
      <c r="G295" s="19"/>
      <c r="H295" s="19"/>
      <c r="I295" s="19">
        <f>700.79*1.1*1.1</f>
        <v>847.9559000000002</v>
      </c>
      <c r="J295" s="19">
        <f t="shared" si="67"/>
        <v>1000.5879620000002</v>
      </c>
      <c r="K295" s="476"/>
      <c r="L295" s="477"/>
      <c r="M295" s="477"/>
      <c r="N295">
        <f t="shared" si="63"/>
        <v>192.71725</v>
      </c>
    </row>
    <row r="296" spans="1:14" ht="25.5">
      <c r="A296" s="459"/>
      <c r="B296" s="472" t="s">
        <v>3131</v>
      </c>
      <c r="C296" s="209">
        <v>4.7</v>
      </c>
      <c r="D296" s="116"/>
      <c r="E296" s="59"/>
      <c r="F296" s="32"/>
      <c r="G296" s="19"/>
      <c r="H296" s="19"/>
      <c r="I296" s="19">
        <f>748.57*1.1*1.1</f>
        <v>905.7697000000002</v>
      </c>
      <c r="J296" s="19">
        <f t="shared" si="67"/>
        <v>1068.808246</v>
      </c>
      <c r="K296" s="476"/>
      <c r="L296" s="477"/>
      <c r="M296" s="477"/>
      <c r="N296">
        <f t="shared" si="63"/>
        <v>192.71695744680855</v>
      </c>
    </row>
    <row r="297" spans="1:14" ht="25.5">
      <c r="A297" s="459"/>
      <c r="B297" s="472" t="s">
        <v>3132</v>
      </c>
      <c r="C297" s="209">
        <v>5</v>
      </c>
      <c r="D297" s="116"/>
      <c r="E297" s="59"/>
      <c r="F297" s="32"/>
      <c r="G297" s="19"/>
      <c r="H297" s="19"/>
      <c r="I297" s="19">
        <f>796.35*1.1*1.1</f>
        <v>963.5835000000002</v>
      </c>
      <c r="J297" s="19">
        <f t="shared" si="67"/>
        <v>1137.02853</v>
      </c>
      <c r="K297" s="476"/>
      <c r="L297" s="477"/>
      <c r="M297" s="477"/>
      <c r="N297">
        <f t="shared" si="63"/>
        <v>192.71670000000003</v>
      </c>
    </row>
    <row r="298" spans="1:14" s="111" customFormat="1" ht="38.25">
      <c r="A298" s="481" t="s">
        <v>3133</v>
      </c>
      <c r="B298" s="482" t="s">
        <v>3037</v>
      </c>
      <c r="C298" s="207">
        <v>3.5</v>
      </c>
      <c r="D298" s="19">
        <v>669.95</v>
      </c>
      <c r="E298" s="19">
        <v>789.36</v>
      </c>
      <c r="F298" s="32"/>
      <c r="G298" s="19"/>
      <c r="H298" s="19"/>
      <c r="I298" s="19">
        <f>668.94*1.1*1.1</f>
        <v>809.4174000000003</v>
      </c>
      <c r="J298" s="19">
        <v>789.36</v>
      </c>
      <c r="K298" s="94"/>
      <c r="L298"/>
      <c r="M298"/>
      <c r="N298">
        <f t="shared" si="63"/>
        <v>231.26211428571438</v>
      </c>
    </row>
    <row r="299" spans="1:14" ht="12.75">
      <c r="A299" s="481" t="s">
        <v>3134</v>
      </c>
      <c r="B299" s="482" t="s">
        <v>3135</v>
      </c>
      <c r="C299" s="209">
        <v>1.2</v>
      </c>
      <c r="D299" s="474" t="s">
        <v>1685</v>
      </c>
      <c r="E299" s="59">
        <f aca="true" t="shared" si="68" ref="E299:E306">C299*97.36*1.101</f>
        <v>128.63203199999998</v>
      </c>
      <c r="F299" s="32">
        <f aca="true" t="shared" si="69" ref="F299:F306">E299*1.18</f>
        <v>151.78579775999998</v>
      </c>
      <c r="G299" s="19">
        <f aca="true" t="shared" si="70" ref="G299:G304">E299*1.15*1.15</f>
        <v>170.11586231999993</v>
      </c>
      <c r="H299" s="19">
        <f aca="true" t="shared" si="71" ref="H299:H306">G299*1.18</f>
        <v>200.7367175375999</v>
      </c>
      <c r="I299" s="19">
        <f aca="true" t="shared" si="72" ref="I299:I306">G299*1.2*1.05*1.07*1.1*1.1</f>
        <v>277.513748751587</v>
      </c>
      <c r="J299" s="19">
        <f aca="true" t="shared" si="73" ref="J299:J304">I299*1.18</f>
        <v>327.4662235268726</v>
      </c>
      <c r="K299" s="480"/>
      <c r="L299" s="3"/>
      <c r="M299" s="3"/>
      <c r="N299">
        <f t="shared" si="63"/>
        <v>231.26145729298918</v>
      </c>
    </row>
    <row r="300" spans="1:14" ht="12.75">
      <c r="A300" s="481" t="s">
        <v>3136</v>
      </c>
      <c r="B300" s="482" t="s">
        <v>416</v>
      </c>
      <c r="C300" s="209">
        <v>1.2</v>
      </c>
      <c r="D300" s="474" t="s">
        <v>1685</v>
      </c>
      <c r="E300" s="59">
        <f t="shared" si="68"/>
        <v>128.63203199999998</v>
      </c>
      <c r="F300" s="32">
        <f t="shared" si="69"/>
        <v>151.78579775999998</v>
      </c>
      <c r="G300" s="19">
        <f t="shared" si="70"/>
        <v>170.11586231999993</v>
      </c>
      <c r="H300" s="19">
        <f t="shared" si="71"/>
        <v>200.7367175375999</v>
      </c>
      <c r="I300" s="19">
        <f t="shared" si="72"/>
        <v>277.513748751587</v>
      </c>
      <c r="J300" s="19">
        <f t="shared" si="73"/>
        <v>327.4662235268726</v>
      </c>
      <c r="K300" s="480"/>
      <c r="L300" s="3"/>
      <c r="M300" s="3"/>
      <c r="N300">
        <f t="shared" si="63"/>
        <v>231.26145729298918</v>
      </c>
    </row>
    <row r="301" spans="1:14" ht="12.75">
      <c r="A301" s="481" t="s">
        <v>3137</v>
      </c>
      <c r="B301" s="482" t="s">
        <v>1443</v>
      </c>
      <c r="C301" s="209">
        <v>1.2</v>
      </c>
      <c r="D301" s="474" t="s">
        <v>1685</v>
      </c>
      <c r="E301" s="59">
        <f t="shared" si="68"/>
        <v>128.63203199999998</v>
      </c>
      <c r="F301" s="32">
        <f t="shared" si="69"/>
        <v>151.78579775999998</v>
      </c>
      <c r="G301" s="19">
        <f t="shared" si="70"/>
        <v>170.11586231999993</v>
      </c>
      <c r="H301" s="19">
        <f t="shared" si="71"/>
        <v>200.7367175375999</v>
      </c>
      <c r="I301" s="19">
        <f t="shared" si="72"/>
        <v>277.513748751587</v>
      </c>
      <c r="J301" s="19">
        <f t="shared" si="73"/>
        <v>327.4662235268726</v>
      </c>
      <c r="K301" s="480"/>
      <c r="L301" s="3"/>
      <c r="M301" s="3"/>
      <c r="N301">
        <f t="shared" si="63"/>
        <v>231.26145729298918</v>
      </c>
    </row>
    <row r="302" spans="1:14" ht="12.75">
      <c r="A302" s="481" t="s">
        <v>3138</v>
      </c>
      <c r="B302" s="482" t="s">
        <v>1089</v>
      </c>
      <c r="C302" s="209">
        <v>1.2</v>
      </c>
      <c r="D302" s="474" t="s">
        <v>1685</v>
      </c>
      <c r="E302" s="59">
        <f t="shared" si="68"/>
        <v>128.63203199999998</v>
      </c>
      <c r="F302" s="32">
        <f t="shared" si="69"/>
        <v>151.78579775999998</v>
      </c>
      <c r="G302" s="19">
        <f t="shared" si="70"/>
        <v>170.11586231999993</v>
      </c>
      <c r="H302" s="19">
        <f t="shared" si="71"/>
        <v>200.7367175375999</v>
      </c>
      <c r="I302" s="19">
        <f t="shared" si="72"/>
        <v>277.513748751587</v>
      </c>
      <c r="J302" s="19">
        <f t="shared" si="73"/>
        <v>327.4662235268726</v>
      </c>
      <c r="K302" s="480"/>
      <c r="L302" s="3"/>
      <c r="M302" s="3"/>
      <c r="N302">
        <f t="shared" si="63"/>
        <v>231.26145729298918</v>
      </c>
    </row>
    <row r="303" spans="1:14" ht="12.75">
      <c r="A303" s="481" t="s">
        <v>3139</v>
      </c>
      <c r="B303" s="482" t="s">
        <v>1090</v>
      </c>
      <c r="C303" s="209">
        <v>1.2</v>
      </c>
      <c r="D303" s="474" t="s">
        <v>1685</v>
      </c>
      <c r="E303" s="59">
        <f t="shared" si="68"/>
        <v>128.63203199999998</v>
      </c>
      <c r="F303" s="32">
        <f t="shared" si="69"/>
        <v>151.78579775999998</v>
      </c>
      <c r="G303" s="19">
        <f t="shared" si="70"/>
        <v>170.11586231999993</v>
      </c>
      <c r="H303" s="19">
        <f t="shared" si="71"/>
        <v>200.7367175375999</v>
      </c>
      <c r="I303" s="19">
        <f t="shared" si="72"/>
        <v>277.513748751587</v>
      </c>
      <c r="J303" s="19">
        <f t="shared" si="73"/>
        <v>327.4662235268726</v>
      </c>
      <c r="K303" s="480"/>
      <c r="L303" s="3"/>
      <c r="M303" s="3"/>
      <c r="N303">
        <f t="shared" si="63"/>
        <v>231.26145729298918</v>
      </c>
    </row>
    <row r="304" spans="1:14" ht="12.75">
      <c r="A304" s="481" t="s">
        <v>3140</v>
      </c>
      <c r="B304" s="482" t="s">
        <v>3141</v>
      </c>
      <c r="C304" s="209">
        <v>1.2</v>
      </c>
      <c r="D304" s="474" t="s">
        <v>1685</v>
      </c>
      <c r="E304" s="59">
        <f t="shared" si="68"/>
        <v>128.63203199999998</v>
      </c>
      <c r="F304" s="32">
        <f t="shared" si="69"/>
        <v>151.78579775999998</v>
      </c>
      <c r="G304" s="19">
        <f t="shared" si="70"/>
        <v>170.11586231999993</v>
      </c>
      <c r="H304" s="19">
        <f t="shared" si="71"/>
        <v>200.7367175375999</v>
      </c>
      <c r="I304" s="19">
        <f t="shared" si="72"/>
        <v>277.513748751587</v>
      </c>
      <c r="J304" s="19">
        <f t="shared" si="73"/>
        <v>327.4662235268726</v>
      </c>
      <c r="K304" s="480"/>
      <c r="L304" s="3"/>
      <c r="M304" s="3"/>
      <c r="N304">
        <f t="shared" si="63"/>
        <v>231.26145729298918</v>
      </c>
    </row>
    <row r="305" spans="1:14" ht="25.5">
      <c r="A305" s="500" t="s">
        <v>3142</v>
      </c>
      <c r="B305" s="499" t="s">
        <v>706</v>
      </c>
      <c r="C305" s="204">
        <v>3.5</v>
      </c>
      <c r="D305" s="39" t="s">
        <v>1539</v>
      </c>
      <c r="E305" s="68">
        <f t="shared" si="68"/>
        <v>375.17676</v>
      </c>
      <c r="F305" s="32">
        <f t="shared" si="69"/>
        <v>442.7085768</v>
      </c>
      <c r="G305" s="80">
        <f t="shared" si="53"/>
        <v>496.1712650999999</v>
      </c>
      <c r="H305" s="19">
        <f t="shared" si="71"/>
        <v>585.4820928179998</v>
      </c>
      <c r="I305" s="80">
        <f t="shared" si="72"/>
        <v>809.4151005254622</v>
      </c>
      <c r="J305" s="19">
        <f t="shared" si="62"/>
        <v>955.1098186200453</v>
      </c>
      <c r="K305" s="470">
        <f t="shared" si="57"/>
        <v>1.6313220000000004</v>
      </c>
      <c r="L305" s="471"/>
      <c r="M305" s="471"/>
      <c r="N305">
        <f t="shared" si="63"/>
        <v>231.2614572929892</v>
      </c>
    </row>
    <row r="306" spans="1:14" ht="12.75">
      <c r="A306" s="500" t="s">
        <v>3143</v>
      </c>
      <c r="B306" s="499" t="s">
        <v>1540</v>
      </c>
      <c r="C306" s="204">
        <v>0.5</v>
      </c>
      <c r="D306" s="39">
        <v>49.73</v>
      </c>
      <c r="E306" s="68">
        <f t="shared" si="68"/>
        <v>53.59668</v>
      </c>
      <c r="F306" s="32">
        <f t="shared" si="69"/>
        <v>63.244082399999996</v>
      </c>
      <c r="G306" s="80">
        <f t="shared" si="53"/>
        <v>70.88160929999998</v>
      </c>
      <c r="H306" s="19">
        <f t="shared" si="71"/>
        <v>83.64029897399998</v>
      </c>
      <c r="I306" s="80">
        <f t="shared" si="72"/>
        <v>115.63072864649459</v>
      </c>
      <c r="J306" s="19">
        <f t="shared" si="62"/>
        <v>136.4442598028636</v>
      </c>
      <c r="K306" s="470">
        <f t="shared" si="57"/>
        <v>1.6313220000000004</v>
      </c>
      <c r="L306" s="471"/>
      <c r="M306" s="471"/>
      <c r="N306">
        <f t="shared" si="63"/>
        <v>231.26145729298918</v>
      </c>
    </row>
    <row r="307" spans="1:14" s="111" customFormat="1" ht="17.25" customHeight="1">
      <c r="A307" s="483" t="s">
        <v>776</v>
      </c>
      <c r="B307" s="945" t="s">
        <v>1542</v>
      </c>
      <c r="C307" s="945"/>
      <c r="D307" s="945"/>
      <c r="E307" s="945"/>
      <c r="F307" s="945"/>
      <c r="G307" s="945"/>
      <c r="H307" s="945"/>
      <c r="I307" s="945"/>
      <c r="J307" s="945"/>
      <c r="N307" t="e">
        <f t="shared" si="63"/>
        <v>#DIV/0!</v>
      </c>
    </row>
    <row r="308" spans="1:14" ht="12.75">
      <c r="A308" s="498" t="s">
        <v>1411</v>
      </c>
      <c r="B308" s="499" t="s">
        <v>1548</v>
      </c>
      <c r="C308" s="74">
        <v>0.25</v>
      </c>
      <c r="D308" s="38">
        <v>99.45</v>
      </c>
      <c r="E308" s="57">
        <f aca="true" t="shared" si="74" ref="E308:E316">C308*97.36*1.101</f>
        <v>26.79834</v>
      </c>
      <c r="F308" s="32">
        <f aca="true" t="shared" si="75" ref="F308:F316">E308*1.18</f>
        <v>31.622041199999998</v>
      </c>
      <c r="G308" s="80">
        <f t="shared" si="53"/>
        <v>35.44080464999999</v>
      </c>
      <c r="H308" s="19">
        <f>G308*1.18</f>
        <v>41.82014948699999</v>
      </c>
      <c r="I308" s="80">
        <f aca="true" t="shared" si="76" ref="I308:I316">G308*1.2*1.05*1.07*1.1*1.1</f>
        <v>57.815364323247294</v>
      </c>
      <c r="J308" s="19">
        <f>I308*1.18</f>
        <v>68.2221299014318</v>
      </c>
      <c r="K308" s="94">
        <f t="shared" si="57"/>
        <v>1.6313220000000004</v>
      </c>
      <c r="N308">
        <f t="shared" si="63"/>
        <v>231.26145729298918</v>
      </c>
    </row>
    <row r="309" spans="1:14" ht="12.75">
      <c r="A309" s="498" t="s">
        <v>1412</v>
      </c>
      <c r="B309" s="499" t="s">
        <v>2531</v>
      </c>
      <c r="C309" s="74">
        <v>0.5</v>
      </c>
      <c r="D309" s="38">
        <v>99.45</v>
      </c>
      <c r="E309" s="57">
        <f t="shared" si="74"/>
        <v>53.59668</v>
      </c>
      <c r="F309" s="32">
        <f t="shared" si="75"/>
        <v>63.244082399999996</v>
      </c>
      <c r="G309" s="80">
        <f t="shared" si="53"/>
        <v>70.88160929999998</v>
      </c>
      <c r="H309" s="19">
        <f>G309*1.18</f>
        <v>83.64029897399998</v>
      </c>
      <c r="I309" s="80">
        <f t="shared" si="76"/>
        <v>115.63072864649459</v>
      </c>
      <c r="J309" s="19">
        <f>I309*1.18</f>
        <v>136.4442598028636</v>
      </c>
      <c r="K309" s="94">
        <f t="shared" si="57"/>
        <v>1.6313220000000004</v>
      </c>
      <c r="N309">
        <f t="shared" si="63"/>
        <v>231.26145729298918</v>
      </c>
    </row>
    <row r="310" spans="1:14" ht="25.5">
      <c r="A310" s="498" t="s">
        <v>1413</v>
      </c>
      <c r="B310" s="499" t="s">
        <v>706</v>
      </c>
      <c r="C310" s="74">
        <v>3.5</v>
      </c>
      <c r="D310" s="38">
        <v>546.97</v>
      </c>
      <c r="E310" s="57">
        <f t="shared" si="74"/>
        <v>375.17676</v>
      </c>
      <c r="F310" s="32">
        <f t="shared" si="75"/>
        <v>442.7085768</v>
      </c>
      <c r="G310" s="80">
        <f t="shared" si="53"/>
        <v>496.1712650999999</v>
      </c>
      <c r="H310" s="19">
        <f>G310*1.18</f>
        <v>585.4820928179998</v>
      </c>
      <c r="I310" s="80">
        <f t="shared" si="76"/>
        <v>809.4151005254622</v>
      </c>
      <c r="J310" s="19">
        <f>I310*1.18</f>
        <v>955.1098186200453</v>
      </c>
      <c r="K310" s="94">
        <f t="shared" si="57"/>
        <v>1.6313220000000004</v>
      </c>
      <c r="N310">
        <f t="shared" si="63"/>
        <v>231.2614572929892</v>
      </c>
    </row>
    <row r="311" spans="1:14" ht="12.75">
      <c r="A311" s="498" t="s">
        <v>1414</v>
      </c>
      <c r="B311" s="499" t="s">
        <v>1442</v>
      </c>
      <c r="C311" s="74">
        <v>1.2</v>
      </c>
      <c r="D311" s="38">
        <v>298.35</v>
      </c>
      <c r="E311" s="57">
        <f t="shared" si="74"/>
        <v>128.63203199999998</v>
      </c>
      <c r="F311" s="32">
        <f t="shared" si="75"/>
        <v>151.78579775999998</v>
      </c>
      <c r="G311" s="80">
        <f t="shared" si="53"/>
        <v>170.11586231999993</v>
      </c>
      <c r="H311" s="19">
        <f aca="true" t="shared" si="77" ref="H311:J382">G311*1.18</f>
        <v>200.7367175375999</v>
      </c>
      <c r="I311" s="80">
        <f t="shared" si="76"/>
        <v>277.513748751587</v>
      </c>
      <c r="J311" s="19">
        <f t="shared" si="77"/>
        <v>327.4662235268726</v>
      </c>
      <c r="K311" s="94">
        <f t="shared" si="57"/>
        <v>1.6313220000000004</v>
      </c>
      <c r="N311">
        <f t="shared" si="63"/>
        <v>231.26145729298918</v>
      </c>
    </row>
    <row r="312" spans="1:14" ht="12.75">
      <c r="A312" s="498" t="s">
        <v>1415</v>
      </c>
      <c r="B312" s="499" t="s">
        <v>1091</v>
      </c>
      <c r="C312" s="74">
        <v>1.2</v>
      </c>
      <c r="D312" s="38">
        <v>546.97</v>
      </c>
      <c r="E312" s="57">
        <f t="shared" si="74"/>
        <v>128.63203199999998</v>
      </c>
      <c r="F312" s="32">
        <f t="shared" si="75"/>
        <v>151.78579775999998</v>
      </c>
      <c r="G312" s="80">
        <f t="shared" si="53"/>
        <v>170.11586231999993</v>
      </c>
      <c r="H312" s="19">
        <f t="shared" si="77"/>
        <v>200.7367175375999</v>
      </c>
      <c r="I312" s="80">
        <f t="shared" si="76"/>
        <v>277.513748751587</v>
      </c>
      <c r="J312" s="19">
        <f t="shared" si="77"/>
        <v>327.4662235268726</v>
      </c>
      <c r="K312" s="94">
        <f t="shared" si="57"/>
        <v>1.6313220000000004</v>
      </c>
      <c r="N312">
        <f t="shared" si="63"/>
        <v>231.26145729298918</v>
      </c>
    </row>
    <row r="313" spans="1:14" ht="12.75">
      <c r="A313" s="498" t="s">
        <v>1416</v>
      </c>
      <c r="B313" s="499" t="s">
        <v>1088</v>
      </c>
      <c r="C313" s="74">
        <v>1.2</v>
      </c>
      <c r="D313" s="38">
        <v>298.35</v>
      </c>
      <c r="E313" s="57">
        <f t="shared" si="74"/>
        <v>128.63203199999998</v>
      </c>
      <c r="F313" s="32">
        <f t="shared" si="75"/>
        <v>151.78579775999998</v>
      </c>
      <c r="G313" s="80">
        <f t="shared" si="53"/>
        <v>170.11586231999993</v>
      </c>
      <c r="H313" s="19">
        <f t="shared" si="77"/>
        <v>200.7367175375999</v>
      </c>
      <c r="I313" s="80">
        <f t="shared" si="76"/>
        <v>277.513748751587</v>
      </c>
      <c r="J313" s="19">
        <f t="shared" si="77"/>
        <v>327.4662235268726</v>
      </c>
      <c r="K313" s="94">
        <f t="shared" si="57"/>
        <v>1.6313220000000004</v>
      </c>
      <c r="N313">
        <f t="shared" si="63"/>
        <v>231.26145729298918</v>
      </c>
    </row>
    <row r="314" spans="1:14" ht="12.75">
      <c r="A314" s="498" t="s">
        <v>1417</v>
      </c>
      <c r="B314" s="499" t="s">
        <v>2602</v>
      </c>
      <c r="C314" s="205">
        <v>1.2</v>
      </c>
      <c r="D314" s="40"/>
      <c r="E314" s="102">
        <f t="shared" si="74"/>
        <v>128.63203199999998</v>
      </c>
      <c r="F314" s="83">
        <f t="shared" si="75"/>
        <v>151.78579775999998</v>
      </c>
      <c r="G314" s="80">
        <f t="shared" si="53"/>
        <v>170.11586231999993</v>
      </c>
      <c r="H314" s="86">
        <f t="shared" si="77"/>
        <v>200.7367175375999</v>
      </c>
      <c r="I314" s="80">
        <f t="shared" si="76"/>
        <v>277.513748751587</v>
      </c>
      <c r="J314" s="86">
        <f t="shared" si="77"/>
        <v>327.4662235268726</v>
      </c>
      <c r="K314" s="94">
        <f t="shared" si="57"/>
        <v>1.6313220000000004</v>
      </c>
      <c r="N314">
        <f t="shared" si="63"/>
        <v>231.26145729298918</v>
      </c>
    </row>
    <row r="315" spans="1:14" ht="12.75">
      <c r="A315" s="498" t="s">
        <v>1418</v>
      </c>
      <c r="B315" s="499" t="s">
        <v>1090</v>
      </c>
      <c r="C315" s="205">
        <v>1.2</v>
      </c>
      <c r="D315" s="40"/>
      <c r="E315" s="102">
        <f t="shared" si="74"/>
        <v>128.63203199999998</v>
      </c>
      <c r="F315" s="83">
        <f t="shared" si="75"/>
        <v>151.78579775999998</v>
      </c>
      <c r="G315" s="80">
        <f t="shared" si="53"/>
        <v>170.11586231999993</v>
      </c>
      <c r="H315" s="86">
        <f t="shared" si="77"/>
        <v>200.7367175375999</v>
      </c>
      <c r="I315" s="80">
        <f t="shared" si="76"/>
        <v>277.513748751587</v>
      </c>
      <c r="J315" s="86">
        <f t="shared" si="77"/>
        <v>327.4662235268726</v>
      </c>
      <c r="K315" s="94">
        <f t="shared" si="57"/>
        <v>1.6313220000000004</v>
      </c>
      <c r="N315">
        <f t="shared" si="63"/>
        <v>231.26145729298918</v>
      </c>
    </row>
    <row r="316" spans="1:14" ht="12.75">
      <c r="A316" s="498" t="s">
        <v>1419</v>
      </c>
      <c r="B316" s="499" t="s">
        <v>1443</v>
      </c>
      <c r="C316" s="205">
        <v>1.2</v>
      </c>
      <c r="D316" s="40"/>
      <c r="E316" s="102">
        <f t="shared" si="74"/>
        <v>128.63203199999998</v>
      </c>
      <c r="F316" s="83">
        <f t="shared" si="75"/>
        <v>151.78579775999998</v>
      </c>
      <c r="G316" s="80">
        <f t="shared" si="53"/>
        <v>170.11586231999993</v>
      </c>
      <c r="H316" s="86">
        <f t="shared" si="77"/>
        <v>200.7367175375999</v>
      </c>
      <c r="I316" s="80">
        <f t="shared" si="76"/>
        <v>277.513748751587</v>
      </c>
      <c r="J316" s="86">
        <f t="shared" si="77"/>
        <v>327.4662235268726</v>
      </c>
      <c r="K316" s="94">
        <f t="shared" si="57"/>
        <v>1.6313220000000004</v>
      </c>
      <c r="N316">
        <f t="shared" si="63"/>
        <v>231.26145729298918</v>
      </c>
    </row>
    <row r="317" spans="1:14" ht="38.25">
      <c r="A317" s="481" t="s">
        <v>3144</v>
      </c>
      <c r="B317" s="482" t="s">
        <v>3037</v>
      </c>
      <c r="C317" s="207">
        <v>3.5</v>
      </c>
      <c r="D317" s="19">
        <v>669.95</v>
      </c>
      <c r="E317" s="19">
        <v>789.36</v>
      </c>
      <c r="F317" s="32"/>
      <c r="G317" s="19"/>
      <c r="H317" s="19"/>
      <c r="I317" s="19">
        <f>668.94*1.1*1.1</f>
        <v>809.4174000000003</v>
      </c>
      <c r="J317" s="19">
        <v>789.36</v>
      </c>
      <c r="K317" s="94"/>
      <c r="N317">
        <f t="shared" si="63"/>
        <v>231.26211428571438</v>
      </c>
    </row>
    <row r="318" spans="1:14" ht="12.75">
      <c r="A318" s="483" t="s">
        <v>1149</v>
      </c>
      <c r="B318" s="945" t="s">
        <v>2564</v>
      </c>
      <c r="C318" s="945"/>
      <c r="D318" s="945"/>
      <c r="E318" s="945"/>
      <c r="F318" s="945"/>
      <c r="G318" s="945"/>
      <c r="H318" s="945"/>
      <c r="I318" s="945"/>
      <c r="J318" s="945"/>
      <c r="K318" s="111"/>
      <c r="L318" s="111"/>
      <c r="M318" s="111"/>
      <c r="N318" t="e">
        <f t="shared" si="63"/>
        <v>#DIV/0!</v>
      </c>
    </row>
    <row r="319" spans="1:14" s="111" customFormat="1" ht="15" customHeight="1">
      <c r="A319" s="498" t="s">
        <v>1420</v>
      </c>
      <c r="B319" s="499" t="s">
        <v>1548</v>
      </c>
      <c r="C319" s="74">
        <v>0.5</v>
      </c>
      <c r="D319" s="38">
        <v>99.45</v>
      </c>
      <c r="E319" s="57">
        <f>C319*97.36*1.101</f>
        <v>53.59668</v>
      </c>
      <c r="F319" s="32">
        <f aca="true" t="shared" si="78" ref="F319:F391">E319*1.18</f>
        <v>63.244082399999996</v>
      </c>
      <c r="G319" s="80">
        <f t="shared" si="53"/>
        <v>70.88160929999998</v>
      </c>
      <c r="H319" s="19">
        <f t="shared" si="77"/>
        <v>83.64029897399998</v>
      </c>
      <c r="I319" s="80">
        <f>G319*1.2*1.05*1.07*1.1*1.1</f>
        <v>115.63072864649459</v>
      </c>
      <c r="J319" s="19">
        <f t="shared" si="77"/>
        <v>136.4442598028636</v>
      </c>
      <c r="K319" s="94">
        <f t="shared" si="57"/>
        <v>1.6313220000000004</v>
      </c>
      <c r="L319"/>
      <c r="M319"/>
      <c r="N319">
        <f t="shared" si="63"/>
        <v>231.26145729298918</v>
      </c>
    </row>
    <row r="320" spans="1:14" ht="12.75">
      <c r="A320" s="498" t="s">
        <v>1421</v>
      </c>
      <c r="B320" s="499" t="s">
        <v>2531</v>
      </c>
      <c r="C320" s="74">
        <v>1.2</v>
      </c>
      <c r="D320" s="38">
        <v>149.17</v>
      </c>
      <c r="E320" s="57">
        <f>C320*97.36*1.101</f>
        <v>128.63203199999998</v>
      </c>
      <c r="F320" s="32">
        <f t="shared" si="78"/>
        <v>151.78579775999998</v>
      </c>
      <c r="G320" s="80">
        <f t="shared" si="53"/>
        <v>170.11586231999993</v>
      </c>
      <c r="H320" s="19">
        <f t="shared" si="77"/>
        <v>200.7367175375999</v>
      </c>
      <c r="I320" s="80">
        <f>G320*1.2*1.05*1.07*1.1*1.1</f>
        <v>277.513748751587</v>
      </c>
      <c r="J320" s="19">
        <f t="shared" si="77"/>
        <v>327.4662235268726</v>
      </c>
      <c r="K320" s="94">
        <f t="shared" si="57"/>
        <v>1.6313220000000004</v>
      </c>
      <c r="N320">
        <f t="shared" si="63"/>
        <v>231.26145729298918</v>
      </c>
    </row>
    <row r="321" spans="1:14" ht="25.5">
      <c r="A321" s="498" t="s">
        <v>1422</v>
      </c>
      <c r="B321" s="499" t="s">
        <v>706</v>
      </c>
      <c r="C321" s="74">
        <v>3.5</v>
      </c>
      <c r="D321" s="38">
        <v>546.97</v>
      </c>
      <c r="E321" s="57">
        <f>C321*97.36*1.101</f>
        <v>375.17676</v>
      </c>
      <c r="F321" s="32">
        <f t="shared" si="78"/>
        <v>442.7085768</v>
      </c>
      <c r="G321" s="80">
        <f t="shared" si="53"/>
        <v>496.1712650999999</v>
      </c>
      <c r="H321" s="19">
        <f t="shared" si="77"/>
        <v>585.4820928179998</v>
      </c>
      <c r="I321" s="80">
        <f>G321*1.2*1.05*1.07*1.1*1.1</f>
        <v>809.4151005254622</v>
      </c>
      <c r="J321" s="19">
        <f t="shared" si="77"/>
        <v>955.1098186200453</v>
      </c>
      <c r="K321" s="94">
        <f t="shared" si="57"/>
        <v>1.6313220000000004</v>
      </c>
      <c r="N321">
        <f t="shared" si="63"/>
        <v>231.2614572929892</v>
      </c>
    </row>
    <row r="322" spans="1:14" ht="38.25">
      <c r="A322" s="481" t="s">
        <v>3145</v>
      </c>
      <c r="B322" s="482" t="s">
        <v>3037</v>
      </c>
      <c r="C322" s="207">
        <v>3.5</v>
      </c>
      <c r="D322" s="19">
        <v>669.95</v>
      </c>
      <c r="E322" s="19">
        <v>789.36</v>
      </c>
      <c r="F322" s="32"/>
      <c r="G322" s="19"/>
      <c r="H322" s="19"/>
      <c r="I322" s="19">
        <f>668.94*1.1*1.1</f>
        <v>809.4174000000003</v>
      </c>
      <c r="J322" s="19">
        <v>789.36</v>
      </c>
      <c r="K322" s="94"/>
      <c r="N322">
        <f t="shared" si="63"/>
        <v>231.26211428571438</v>
      </c>
    </row>
    <row r="323" spans="1:14" ht="12.75">
      <c r="A323" s="483" t="s">
        <v>2513</v>
      </c>
      <c r="B323" s="945" t="s">
        <v>2565</v>
      </c>
      <c r="C323" s="945"/>
      <c r="D323" s="945"/>
      <c r="E323" s="945"/>
      <c r="F323" s="945"/>
      <c r="G323" s="945"/>
      <c r="H323" s="945"/>
      <c r="I323" s="945"/>
      <c r="J323" s="945"/>
      <c r="K323" s="111"/>
      <c r="L323" s="111"/>
      <c r="M323" s="111"/>
      <c r="N323" t="e">
        <f t="shared" si="63"/>
        <v>#DIV/0!</v>
      </c>
    </row>
    <row r="324" spans="1:14" ht="12.75">
      <c r="A324" s="498" t="s">
        <v>1423</v>
      </c>
      <c r="B324" s="499" t="s">
        <v>1548</v>
      </c>
      <c r="C324" s="74">
        <v>0.5</v>
      </c>
      <c r="D324" s="38">
        <v>99.45</v>
      </c>
      <c r="E324" s="57">
        <f>C324*97.36*1.101</f>
        <v>53.59668</v>
      </c>
      <c r="F324" s="32">
        <f t="shared" si="78"/>
        <v>63.244082399999996</v>
      </c>
      <c r="G324" s="80">
        <f t="shared" si="53"/>
        <v>70.88160929999998</v>
      </c>
      <c r="H324" s="19">
        <f t="shared" si="77"/>
        <v>83.64029897399998</v>
      </c>
      <c r="I324" s="80">
        <f>G324*1.2*1.05*1.07*1.1*1.1</f>
        <v>115.63072864649459</v>
      </c>
      <c r="J324" s="19">
        <f t="shared" si="77"/>
        <v>136.4442598028636</v>
      </c>
      <c r="K324" s="94">
        <f t="shared" si="57"/>
        <v>1.6313220000000004</v>
      </c>
      <c r="N324">
        <f t="shared" si="63"/>
        <v>231.26145729298918</v>
      </c>
    </row>
    <row r="325" spans="1:14" ht="12.75">
      <c r="A325" s="498" t="s">
        <v>1424</v>
      </c>
      <c r="B325" s="499" t="s">
        <v>2531</v>
      </c>
      <c r="C325" s="74">
        <v>1.2</v>
      </c>
      <c r="D325" s="38">
        <v>149.17</v>
      </c>
      <c r="E325" s="57">
        <f>C325*97.36*1.101</f>
        <v>128.63203199999998</v>
      </c>
      <c r="F325" s="32">
        <f t="shared" si="78"/>
        <v>151.78579775999998</v>
      </c>
      <c r="G325" s="80">
        <f t="shared" si="53"/>
        <v>170.11586231999993</v>
      </c>
      <c r="H325" s="19">
        <f t="shared" si="77"/>
        <v>200.7367175375999</v>
      </c>
      <c r="I325" s="80">
        <f>G325*1.2*1.05*1.07*1.1*1.1</f>
        <v>277.513748751587</v>
      </c>
      <c r="J325" s="19">
        <f t="shared" si="77"/>
        <v>327.4662235268726</v>
      </c>
      <c r="K325" s="94">
        <f t="shared" si="57"/>
        <v>1.6313220000000004</v>
      </c>
      <c r="N325">
        <f t="shared" si="63"/>
        <v>231.26145729298918</v>
      </c>
    </row>
    <row r="326" spans="1:14" ht="25.5">
      <c r="A326" s="498" t="s">
        <v>1425</v>
      </c>
      <c r="B326" s="499" t="s">
        <v>706</v>
      </c>
      <c r="C326" s="74">
        <v>3.5</v>
      </c>
      <c r="D326" s="38">
        <v>546.97</v>
      </c>
      <c r="E326" s="57">
        <f>C326*97.36*1.101</f>
        <v>375.17676</v>
      </c>
      <c r="F326" s="32">
        <f t="shared" si="78"/>
        <v>442.7085768</v>
      </c>
      <c r="G326" s="80">
        <f t="shared" si="53"/>
        <v>496.1712650999999</v>
      </c>
      <c r="H326" s="19">
        <f t="shared" si="77"/>
        <v>585.4820928179998</v>
      </c>
      <c r="I326" s="80">
        <f>G326*1.2*1.05*1.07*1.1*1.1</f>
        <v>809.4151005254622</v>
      </c>
      <c r="J326" s="19">
        <f t="shared" si="77"/>
        <v>955.1098186200453</v>
      </c>
      <c r="K326" s="94">
        <f t="shared" si="57"/>
        <v>1.6313220000000004</v>
      </c>
      <c r="N326">
        <f t="shared" si="63"/>
        <v>231.2614572929892</v>
      </c>
    </row>
    <row r="327" spans="1:14" ht="38.25">
      <c r="A327" s="481" t="s">
        <v>3146</v>
      </c>
      <c r="B327" s="482" t="s">
        <v>3037</v>
      </c>
      <c r="C327" s="207">
        <v>3.5</v>
      </c>
      <c r="D327" s="19">
        <v>669.95</v>
      </c>
      <c r="E327" s="19">
        <v>789.36</v>
      </c>
      <c r="F327" s="32"/>
      <c r="G327" s="19"/>
      <c r="H327" s="19"/>
      <c r="I327" s="19">
        <f>668.94*1.1*1.1</f>
        <v>809.4174000000003</v>
      </c>
      <c r="J327" s="19">
        <v>789.36</v>
      </c>
      <c r="K327" s="94"/>
      <c r="N327">
        <f t="shared" si="63"/>
        <v>231.26211428571438</v>
      </c>
    </row>
    <row r="328" spans="1:14" ht="12.75">
      <c r="A328" s="483" t="s">
        <v>2515</v>
      </c>
      <c r="B328" s="945" t="s">
        <v>1558</v>
      </c>
      <c r="C328" s="945"/>
      <c r="D328" s="945"/>
      <c r="E328" s="945"/>
      <c r="F328" s="945"/>
      <c r="G328" s="945"/>
      <c r="H328" s="945"/>
      <c r="I328" s="945"/>
      <c r="J328" s="945"/>
      <c r="K328" s="111"/>
      <c r="L328" s="111"/>
      <c r="M328" s="111"/>
      <c r="N328" t="e">
        <f t="shared" si="63"/>
        <v>#DIV/0!</v>
      </c>
    </row>
    <row r="329" spans="1:14" ht="12.75">
      <c r="A329" s="498" t="s">
        <v>1426</v>
      </c>
      <c r="B329" s="499" t="s">
        <v>2531</v>
      </c>
      <c r="C329" s="74">
        <v>0.1</v>
      </c>
      <c r="D329" s="38">
        <v>19.89</v>
      </c>
      <c r="E329" s="57">
        <f>C329*97.36*1.101</f>
        <v>10.719336</v>
      </c>
      <c r="F329" s="32">
        <f t="shared" si="78"/>
        <v>12.648816479999999</v>
      </c>
      <c r="G329" s="80">
        <f t="shared" si="53"/>
        <v>14.176321859999998</v>
      </c>
      <c r="H329" s="19">
        <f t="shared" si="77"/>
        <v>16.728059794799996</v>
      </c>
      <c r="I329" s="80">
        <f>G329*1.2*1.05*1.07*1.1*1.1</f>
        <v>23.12614572929892</v>
      </c>
      <c r="J329" s="19">
        <f t="shared" si="77"/>
        <v>27.288851960572725</v>
      </c>
      <c r="K329" s="94">
        <f t="shared" si="57"/>
        <v>1.6313220000000002</v>
      </c>
      <c r="N329">
        <f t="shared" si="63"/>
        <v>231.26145729298918</v>
      </c>
    </row>
    <row r="330" spans="1:14" ht="12.75">
      <c r="A330" s="498" t="s">
        <v>1427</v>
      </c>
      <c r="B330" s="499" t="s">
        <v>1559</v>
      </c>
      <c r="C330" s="74">
        <v>0.3</v>
      </c>
      <c r="D330" s="38">
        <v>49.73</v>
      </c>
      <c r="E330" s="57">
        <f>C330*97.36*1.101</f>
        <v>32.158007999999995</v>
      </c>
      <c r="F330" s="32">
        <f t="shared" si="78"/>
        <v>37.946449439999995</v>
      </c>
      <c r="G330" s="80">
        <f t="shared" si="53"/>
        <v>42.52896557999998</v>
      </c>
      <c r="H330" s="19">
        <f t="shared" si="77"/>
        <v>50.184179384399975</v>
      </c>
      <c r="I330" s="80">
        <f>G330*1.2*1.05*1.07*1.1*1.1</f>
        <v>69.37843718789675</v>
      </c>
      <c r="J330" s="19">
        <f t="shared" si="77"/>
        <v>81.86655588171816</v>
      </c>
      <c r="K330" s="94">
        <f t="shared" si="57"/>
        <v>1.6313220000000004</v>
      </c>
      <c r="N330">
        <f t="shared" si="63"/>
        <v>231.26145729298918</v>
      </c>
    </row>
    <row r="331" spans="1:14" ht="12.75">
      <c r="A331" s="498" t="s">
        <v>1428</v>
      </c>
      <c r="B331" s="499" t="s">
        <v>1540</v>
      </c>
      <c r="C331" s="74">
        <v>0.5</v>
      </c>
      <c r="D331" s="38">
        <v>49.73</v>
      </c>
      <c r="E331" s="57">
        <f>C331*97.36*1.101</f>
        <v>53.59668</v>
      </c>
      <c r="F331" s="32">
        <f t="shared" si="78"/>
        <v>63.244082399999996</v>
      </c>
      <c r="G331" s="80">
        <f t="shared" si="53"/>
        <v>70.88160929999998</v>
      </c>
      <c r="H331" s="19">
        <f t="shared" si="77"/>
        <v>83.64029897399998</v>
      </c>
      <c r="I331" s="80">
        <f>G331*1.2*1.05*1.07*1.1*1.1</f>
        <v>115.63072864649459</v>
      </c>
      <c r="J331" s="19">
        <f t="shared" si="77"/>
        <v>136.4442598028636</v>
      </c>
      <c r="K331" s="94">
        <f t="shared" si="57"/>
        <v>1.6313220000000004</v>
      </c>
      <c r="N331">
        <f t="shared" si="63"/>
        <v>231.26145729298918</v>
      </c>
    </row>
    <row r="332" spans="1:14" s="111" customFormat="1" ht="15" customHeight="1">
      <c r="A332" s="498" t="s">
        <v>1429</v>
      </c>
      <c r="B332" s="505" t="s">
        <v>1560</v>
      </c>
      <c r="C332" s="204"/>
      <c r="D332" s="40"/>
      <c r="E332" s="57"/>
      <c r="F332" s="32"/>
      <c r="G332" s="80"/>
      <c r="H332" s="19"/>
      <c r="I332" s="80"/>
      <c r="J332" s="19"/>
      <c r="K332"/>
      <c r="L332"/>
      <c r="M332"/>
      <c r="N332" t="e">
        <f t="shared" si="63"/>
        <v>#DIV/0!</v>
      </c>
    </row>
    <row r="333" spans="1:14" ht="12.75">
      <c r="A333" s="500" t="s">
        <v>1430</v>
      </c>
      <c r="B333" s="499" t="s">
        <v>876</v>
      </c>
      <c r="C333" s="204">
        <v>5.7</v>
      </c>
      <c r="D333" s="39">
        <v>467.41</v>
      </c>
      <c r="E333" s="68">
        <f>C333*97.36*1.101</f>
        <v>611.002152</v>
      </c>
      <c r="F333" s="32">
        <f t="shared" si="78"/>
        <v>720.98253936</v>
      </c>
      <c r="G333" s="80">
        <f t="shared" si="53"/>
        <v>808.0503460199999</v>
      </c>
      <c r="H333" s="19">
        <f t="shared" si="77"/>
        <v>953.4994083035998</v>
      </c>
      <c r="I333" s="80">
        <f>G333*1.2*1.05*1.07*1.1*1.1</f>
        <v>1318.1903065700385</v>
      </c>
      <c r="J333" s="19">
        <f t="shared" si="77"/>
        <v>1555.4645617526453</v>
      </c>
      <c r="K333" s="476">
        <f t="shared" si="57"/>
        <v>1.6313220000000004</v>
      </c>
      <c r="L333" s="477"/>
      <c r="M333" s="477"/>
      <c r="N333">
        <f t="shared" si="63"/>
        <v>231.2614572929892</v>
      </c>
    </row>
    <row r="334" spans="1:14" ht="12.75">
      <c r="A334" s="500" t="s">
        <v>1431</v>
      </c>
      <c r="B334" s="499" t="s">
        <v>425</v>
      </c>
      <c r="C334" s="204">
        <v>4</v>
      </c>
      <c r="D334" s="39" t="s">
        <v>2509</v>
      </c>
      <c r="E334" s="68">
        <f>C334*97.36*1.101</f>
        <v>428.77344</v>
      </c>
      <c r="F334" s="32">
        <f t="shared" si="78"/>
        <v>505.95265919999997</v>
      </c>
      <c r="G334" s="80">
        <f t="shared" si="53"/>
        <v>567.0528743999998</v>
      </c>
      <c r="H334" s="19">
        <f t="shared" si="77"/>
        <v>669.1223917919998</v>
      </c>
      <c r="I334" s="80">
        <f>G334*1.2*1.05*1.07*1.1*1.1</f>
        <v>925.0458291719567</v>
      </c>
      <c r="J334" s="19">
        <f t="shared" si="77"/>
        <v>1091.5540784229088</v>
      </c>
      <c r="K334" s="476">
        <f t="shared" si="57"/>
        <v>1.6313220000000004</v>
      </c>
      <c r="L334" s="477"/>
      <c r="M334" s="477"/>
      <c r="N334">
        <f t="shared" si="63"/>
        <v>231.26145729298918</v>
      </c>
    </row>
    <row r="335" spans="1:14" ht="12.75">
      <c r="A335" s="500" t="s">
        <v>1432</v>
      </c>
      <c r="B335" s="499" t="s">
        <v>877</v>
      </c>
      <c r="C335" s="204">
        <v>5.7</v>
      </c>
      <c r="D335" s="39" t="s">
        <v>1539</v>
      </c>
      <c r="E335" s="68">
        <f>C335*97.36*1.101</f>
        <v>611.002152</v>
      </c>
      <c r="F335" s="32">
        <f t="shared" si="78"/>
        <v>720.98253936</v>
      </c>
      <c r="G335" s="80">
        <f t="shared" si="53"/>
        <v>808.0503460199999</v>
      </c>
      <c r="H335" s="19">
        <f t="shared" si="77"/>
        <v>953.4994083035998</v>
      </c>
      <c r="I335" s="80">
        <f>G335*1.2*1.05*1.07*1.1*1.1</f>
        <v>1318.1903065700385</v>
      </c>
      <c r="J335" s="19">
        <f t="shared" si="77"/>
        <v>1555.4645617526453</v>
      </c>
      <c r="K335" s="476">
        <f t="shared" si="57"/>
        <v>1.6313220000000004</v>
      </c>
      <c r="L335" s="477"/>
      <c r="M335" s="477"/>
      <c r="N335">
        <f t="shared" si="63"/>
        <v>231.2614572929892</v>
      </c>
    </row>
    <row r="336" spans="1:14" ht="12.75">
      <c r="A336" s="498" t="s">
        <v>1433</v>
      </c>
      <c r="B336" s="499" t="s">
        <v>426</v>
      </c>
      <c r="C336" s="74">
        <v>8</v>
      </c>
      <c r="D336" s="38"/>
      <c r="E336" s="57">
        <f>C336*97.36*1.101</f>
        <v>857.54688</v>
      </c>
      <c r="F336" s="32">
        <f t="shared" si="78"/>
        <v>1011.9053183999999</v>
      </c>
      <c r="G336" s="80">
        <f t="shared" si="53"/>
        <v>1134.1057487999997</v>
      </c>
      <c r="H336" s="19">
        <f t="shared" si="77"/>
        <v>1338.2447835839996</v>
      </c>
      <c r="I336" s="80">
        <f>G336*1.2*1.05*1.07*1.1*1.1</f>
        <v>1850.0916583439134</v>
      </c>
      <c r="J336" s="19">
        <f t="shared" si="77"/>
        <v>2183.1081568458176</v>
      </c>
      <c r="K336" s="94">
        <f t="shared" si="57"/>
        <v>1.6313220000000004</v>
      </c>
      <c r="N336">
        <f t="shared" si="63"/>
        <v>231.26145729298918</v>
      </c>
    </row>
    <row r="337" spans="1:14" ht="38.25">
      <c r="A337" s="481" t="s">
        <v>3147</v>
      </c>
      <c r="B337" s="482" t="s">
        <v>3037</v>
      </c>
      <c r="C337" s="207">
        <v>3.5</v>
      </c>
      <c r="D337" s="19">
        <v>669.95</v>
      </c>
      <c r="E337" s="19">
        <v>789.36</v>
      </c>
      <c r="F337" s="32"/>
      <c r="G337" s="19"/>
      <c r="H337" s="19"/>
      <c r="I337" s="19">
        <f>668.94*1.1*1.1</f>
        <v>809.4174000000003</v>
      </c>
      <c r="J337" s="19">
        <v>789.36</v>
      </c>
      <c r="K337" s="94"/>
      <c r="N337">
        <f aca="true" t="shared" si="79" ref="N337:N400">I337/C337</f>
        <v>231.26211428571438</v>
      </c>
    </row>
    <row r="338" spans="1:14" ht="12.75">
      <c r="A338" s="483" t="s">
        <v>2340</v>
      </c>
      <c r="B338" s="945" t="s">
        <v>1103</v>
      </c>
      <c r="C338" s="945"/>
      <c r="D338" s="945"/>
      <c r="E338" s="945"/>
      <c r="F338" s="945"/>
      <c r="G338" s="945"/>
      <c r="H338" s="945"/>
      <c r="I338" s="945"/>
      <c r="J338" s="945"/>
      <c r="K338" s="111"/>
      <c r="L338" s="111"/>
      <c r="M338" s="111"/>
      <c r="N338" t="e">
        <f t="shared" si="79"/>
        <v>#DIV/0!</v>
      </c>
    </row>
    <row r="339" spans="1:14" ht="12.75">
      <c r="A339" s="498" t="s">
        <v>0</v>
      </c>
      <c r="B339" s="499" t="s">
        <v>1590</v>
      </c>
      <c r="C339" s="74">
        <v>0.5</v>
      </c>
      <c r="D339" s="38" t="s">
        <v>1055</v>
      </c>
      <c r="E339" s="57">
        <f aca="true" t="shared" si="80" ref="E339:E351">C339*97.36*1.101</f>
        <v>53.59668</v>
      </c>
      <c r="F339" s="32">
        <f t="shared" si="78"/>
        <v>63.244082399999996</v>
      </c>
      <c r="G339" s="80">
        <f t="shared" si="53"/>
        <v>70.88160929999998</v>
      </c>
      <c r="H339" s="19">
        <f t="shared" si="77"/>
        <v>83.64029897399998</v>
      </c>
      <c r="I339" s="80">
        <f aca="true" t="shared" si="81" ref="I339:I351">G339*1.2*1.05*1.07*1.1*1.1</f>
        <v>115.63072864649459</v>
      </c>
      <c r="J339" s="19">
        <f t="shared" si="77"/>
        <v>136.4442598028636</v>
      </c>
      <c r="K339" s="94">
        <f t="shared" si="57"/>
        <v>1.6313220000000004</v>
      </c>
      <c r="N339">
        <f t="shared" si="79"/>
        <v>231.26145729298918</v>
      </c>
    </row>
    <row r="340" spans="1:14" ht="12.75">
      <c r="A340" s="498" t="s">
        <v>1</v>
      </c>
      <c r="B340" s="499" t="s">
        <v>1104</v>
      </c>
      <c r="C340" s="74" t="s">
        <v>1060</v>
      </c>
      <c r="D340" s="38" t="s">
        <v>1105</v>
      </c>
      <c r="E340" s="57">
        <f t="shared" si="80"/>
        <v>160.79003999999998</v>
      </c>
      <c r="F340" s="32">
        <f t="shared" si="78"/>
        <v>189.73224719999996</v>
      </c>
      <c r="G340" s="80">
        <f t="shared" si="53"/>
        <v>212.6448278999999</v>
      </c>
      <c r="H340" s="19">
        <f t="shared" si="77"/>
        <v>250.92089692199988</v>
      </c>
      <c r="I340" s="80">
        <f t="shared" si="81"/>
        <v>346.89218593948374</v>
      </c>
      <c r="J340" s="19">
        <f t="shared" si="77"/>
        <v>409.3327794085908</v>
      </c>
      <c r="K340" s="94">
        <f t="shared" si="57"/>
        <v>1.6313220000000004</v>
      </c>
      <c r="N340">
        <f t="shared" si="79"/>
        <v>231.26145729298915</v>
      </c>
    </row>
    <row r="341" spans="1:14" ht="12.75">
      <c r="A341" s="498" t="s">
        <v>2</v>
      </c>
      <c r="B341" s="499" t="s">
        <v>1106</v>
      </c>
      <c r="C341" s="74" t="s">
        <v>1054</v>
      </c>
      <c r="D341" s="38" t="s">
        <v>1055</v>
      </c>
      <c r="E341" s="57">
        <f t="shared" si="80"/>
        <v>107.19336</v>
      </c>
      <c r="F341" s="32">
        <f t="shared" si="78"/>
        <v>126.48816479999999</v>
      </c>
      <c r="G341" s="80">
        <f t="shared" si="53"/>
        <v>141.76321859999996</v>
      </c>
      <c r="H341" s="19">
        <f t="shared" si="77"/>
        <v>167.28059794799995</v>
      </c>
      <c r="I341" s="80">
        <f t="shared" si="81"/>
        <v>231.26145729298918</v>
      </c>
      <c r="J341" s="19">
        <f t="shared" si="77"/>
        <v>272.8885196057272</v>
      </c>
      <c r="K341" s="94">
        <f t="shared" si="57"/>
        <v>1.6313220000000004</v>
      </c>
      <c r="N341">
        <f t="shared" si="79"/>
        <v>231.26145729298918</v>
      </c>
    </row>
    <row r="342" spans="1:14" ht="12.75">
      <c r="A342" s="498" t="s">
        <v>3</v>
      </c>
      <c r="B342" s="499" t="s">
        <v>1107</v>
      </c>
      <c r="C342" s="74" t="s">
        <v>1060</v>
      </c>
      <c r="D342" s="38" t="s">
        <v>1494</v>
      </c>
      <c r="E342" s="57">
        <f t="shared" si="80"/>
        <v>160.79003999999998</v>
      </c>
      <c r="F342" s="32">
        <f t="shared" si="78"/>
        <v>189.73224719999996</v>
      </c>
      <c r="G342" s="80">
        <f t="shared" si="53"/>
        <v>212.6448278999999</v>
      </c>
      <c r="H342" s="19">
        <f t="shared" si="77"/>
        <v>250.92089692199988</v>
      </c>
      <c r="I342" s="80">
        <f t="shared" si="81"/>
        <v>346.89218593948374</v>
      </c>
      <c r="J342" s="19">
        <f t="shared" si="77"/>
        <v>409.3327794085908</v>
      </c>
      <c r="K342" s="94">
        <f t="shared" si="57"/>
        <v>1.6313220000000004</v>
      </c>
      <c r="N342">
        <f t="shared" si="79"/>
        <v>231.26145729298915</v>
      </c>
    </row>
    <row r="343" spans="1:14" ht="12.75">
      <c r="A343" s="498" t="s">
        <v>4</v>
      </c>
      <c r="B343" s="499" t="s">
        <v>1108</v>
      </c>
      <c r="C343" s="74" t="s">
        <v>1054</v>
      </c>
      <c r="D343" s="38" t="s">
        <v>1055</v>
      </c>
      <c r="E343" s="57">
        <f t="shared" si="80"/>
        <v>107.19336</v>
      </c>
      <c r="F343" s="32">
        <f t="shared" si="78"/>
        <v>126.48816479999999</v>
      </c>
      <c r="G343" s="80">
        <f t="shared" si="53"/>
        <v>141.76321859999996</v>
      </c>
      <c r="H343" s="19">
        <f t="shared" si="77"/>
        <v>167.28059794799995</v>
      </c>
      <c r="I343" s="80">
        <f t="shared" si="81"/>
        <v>231.26145729298918</v>
      </c>
      <c r="J343" s="19">
        <f t="shared" si="77"/>
        <v>272.8885196057272</v>
      </c>
      <c r="K343" s="94">
        <f t="shared" si="57"/>
        <v>1.6313220000000004</v>
      </c>
      <c r="N343">
        <f t="shared" si="79"/>
        <v>231.26145729298918</v>
      </c>
    </row>
    <row r="344" spans="1:14" ht="12.75">
      <c r="A344" s="503" t="s">
        <v>5</v>
      </c>
      <c r="B344" s="504" t="s">
        <v>1109</v>
      </c>
      <c r="C344" s="74" t="s">
        <v>1060</v>
      </c>
      <c r="D344" s="41">
        <v>149.18</v>
      </c>
      <c r="E344" s="57">
        <f t="shared" si="80"/>
        <v>160.79003999999998</v>
      </c>
      <c r="F344" s="32">
        <f t="shared" si="78"/>
        <v>189.73224719999996</v>
      </c>
      <c r="G344" s="80">
        <f t="shared" si="53"/>
        <v>212.6448278999999</v>
      </c>
      <c r="H344" s="19">
        <f t="shared" si="77"/>
        <v>250.92089692199988</v>
      </c>
      <c r="I344" s="80">
        <f t="shared" si="81"/>
        <v>346.89218593948374</v>
      </c>
      <c r="J344" s="19">
        <f t="shared" si="77"/>
        <v>409.3327794085908</v>
      </c>
      <c r="K344" s="94">
        <f t="shared" si="57"/>
        <v>1.6313220000000004</v>
      </c>
      <c r="N344">
        <f t="shared" si="79"/>
        <v>231.26145729298915</v>
      </c>
    </row>
    <row r="345" spans="1:14" ht="12.75">
      <c r="A345" s="498" t="s">
        <v>6</v>
      </c>
      <c r="B345" s="499" t="s">
        <v>333</v>
      </c>
      <c r="C345" s="74" t="s">
        <v>1695</v>
      </c>
      <c r="D345" s="38" t="s">
        <v>539</v>
      </c>
      <c r="E345" s="57">
        <f t="shared" si="80"/>
        <v>182.228712</v>
      </c>
      <c r="F345" s="32">
        <f t="shared" si="78"/>
        <v>215.02988016</v>
      </c>
      <c r="G345" s="80">
        <f t="shared" si="53"/>
        <v>240.99747161999997</v>
      </c>
      <c r="H345" s="19">
        <f t="shared" si="77"/>
        <v>284.37701651159995</v>
      </c>
      <c r="I345" s="80">
        <f t="shared" si="81"/>
        <v>393.14447739808156</v>
      </c>
      <c r="J345" s="19">
        <f t="shared" si="77"/>
        <v>463.9104833297362</v>
      </c>
      <c r="K345" s="94">
        <f t="shared" si="57"/>
        <v>1.631322</v>
      </c>
      <c r="N345">
        <f t="shared" si="79"/>
        <v>231.26145729298915</v>
      </c>
    </row>
    <row r="346" spans="1:14" s="111" customFormat="1" ht="12.75">
      <c r="A346" s="498" t="s">
        <v>7</v>
      </c>
      <c r="B346" s="499" t="s">
        <v>1575</v>
      </c>
      <c r="C346" s="74" t="s">
        <v>2508</v>
      </c>
      <c r="D346" s="38" t="s">
        <v>2509</v>
      </c>
      <c r="E346" s="57">
        <f t="shared" si="80"/>
        <v>214.38672</v>
      </c>
      <c r="F346" s="32">
        <f t="shared" si="78"/>
        <v>252.97632959999999</v>
      </c>
      <c r="G346" s="80">
        <f t="shared" si="53"/>
        <v>283.5264371999999</v>
      </c>
      <c r="H346" s="19">
        <f t="shared" si="77"/>
        <v>334.5611958959999</v>
      </c>
      <c r="I346" s="80">
        <f t="shared" si="81"/>
        <v>462.52291458597836</v>
      </c>
      <c r="J346" s="19">
        <f t="shared" si="77"/>
        <v>545.7770392114544</v>
      </c>
      <c r="K346" s="94">
        <f t="shared" si="57"/>
        <v>1.6313220000000004</v>
      </c>
      <c r="L346"/>
      <c r="M346"/>
      <c r="N346">
        <f t="shared" si="79"/>
        <v>231.26145729298918</v>
      </c>
    </row>
    <row r="347" spans="1:14" ht="12.75">
      <c r="A347" s="498" t="s">
        <v>8</v>
      </c>
      <c r="B347" s="499" t="s">
        <v>1576</v>
      </c>
      <c r="C347" s="74" t="s">
        <v>1577</v>
      </c>
      <c r="D347" s="38" t="s">
        <v>1578</v>
      </c>
      <c r="E347" s="57">
        <f t="shared" si="80"/>
        <v>64.31601599999999</v>
      </c>
      <c r="F347" s="32">
        <f t="shared" si="78"/>
        <v>75.89289887999999</v>
      </c>
      <c r="G347" s="80">
        <f t="shared" si="53"/>
        <v>85.05793115999997</v>
      </c>
      <c r="H347" s="19">
        <f t="shared" si="77"/>
        <v>100.36835876879995</v>
      </c>
      <c r="I347" s="80">
        <f t="shared" si="81"/>
        <v>138.7568743757935</v>
      </c>
      <c r="J347" s="19">
        <f t="shared" si="77"/>
        <v>163.7331117634363</v>
      </c>
      <c r="K347" s="94">
        <f t="shared" si="57"/>
        <v>1.6313220000000004</v>
      </c>
      <c r="N347">
        <f t="shared" si="79"/>
        <v>231.26145729298918</v>
      </c>
    </row>
    <row r="348" spans="1:14" ht="12.75">
      <c r="A348" s="498" t="s">
        <v>9</v>
      </c>
      <c r="B348" s="499" t="s">
        <v>1579</v>
      </c>
      <c r="C348" s="74" t="s">
        <v>1684</v>
      </c>
      <c r="D348" s="38" t="s">
        <v>1685</v>
      </c>
      <c r="E348" s="57">
        <f t="shared" si="80"/>
        <v>321.58007999999995</v>
      </c>
      <c r="F348" s="32">
        <f t="shared" si="78"/>
        <v>379.4644943999999</v>
      </c>
      <c r="G348" s="80">
        <f t="shared" si="53"/>
        <v>425.2896557999998</v>
      </c>
      <c r="H348" s="19">
        <f t="shared" si="77"/>
        <v>501.84179384399977</v>
      </c>
      <c r="I348" s="80">
        <f t="shared" si="81"/>
        <v>693.7843718789675</v>
      </c>
      <c r="J348" s="19">
        <f t="shared" si="77"/>
        <v>818.6655588171816</v>
      </c>
      <c r="K348" s="94">
        <f t="shared" si="57"/>
        <v>1.6313220000000004</v>
      </c>
      <c r="N348">
        <f t="shared" si="79"/>
        <v>231.26145729298915</v>
      </c>
    </row>
    <row r="349" spans="1:14" ht="12.75">
      <c r="A349" s="498" t="s">
        <v>10</v>
      </c>
      <c r="B349" s="499" t="s">
        <v>1580</v>
      </c>
      <c r="C349" s="74" t="s">
        <v>1054</v>
      </c>
      <c r="D349" s="38" t="s">
        <v>1055</v>
      </c>
      <c r="E349" s="57">
        <f t="shared" si="80"/>
        <v>107.19336</v>
      </c>
      <c r="F349" s="32">
        <f t="shared" si="78"/>
        <v>126.48816479999999</v>
      </c>
      <c r="G349" s="80">
        <f t="shared" si="53"/>
        <v>141.76321859999996</v>
      </c>
      <c r="H349" s="19">
        <f t="shared" si="77"/>
        <v>167.28059794799995</v>
      </c>
      <c r="I349" s="80">
        <f t="shared" si="81"/>
        <v>231.26145729298918</v>
      </c>
      <c r="J349" s="19">
        <f t="shared" si="77"/>
        <v>272.8885196057272</v>
      </c>
      <c r="K349" s="94">
        <f t="shared" si="57"/>
        <v>1.6313220000000004</v>
      </c>
      <c r="N349">
        <f t="shared" si="79"/>
        <v>231.26145729298918</v>
      </c>
    </row>
    <row r="350" spans="1:14" ht="12.75">
      <c r="A350" s="498" t="s">
        <v>11</v>
      </c>
      <c r="B350" s="499" t="s">
        <v>1567</v>
      </c>
      <c r="C350" s="74" t="s">
        <v>1618</v>
      </c>
      <c r="D350" s="38" t="s">
        <v>1619</v>
      </c>
      <c r="E350" s="57">
        <f t="shared" si="80"/>
        <v>128.63203199999998</v>
      </c>
      <c r="F350" s="32">
        <f t="shared" si="78"/>
        <v>151.78579775999998</v>
      </c>
      <c r="G350" s="80">
        <f t="shared" si="53"/>
        <v>170.11586231999993</v>
      </c>
      <c r="H350" s="19">
        <f t="shared" si="77"/>
        <v>200.7367175375999</v>
      </c>
      <c r="I350" s="80">
        <f t="shared" si="81"/>
        <v>277.513748751587</v>
      </c>
      <c r="J350" s="19">
        <f t="shared" si="77"/>
        <v>327.4662235268726</v>
      </c>
      <c r="K350" s="94">
        <f t="shared" si="57"/>
        <v>1.6313220000000004</v>
      </c>
      <c r="N350">
        <f t="shared" si="79"/>
        <v>231.26145729298918</v>
      </c>
    </row>
    <row r="351" spans="1:14" ht="12.75">
      <c r="A351" s="500" t="s">
        <v>12</v>
      </c>
      <c r="B351" s="499" t="s">
        <v>1581</v>
      </c>
      <c r="C351" s="74" t="s">
        <v>1054</v>
      </c>
      <c r="D351" s="38" t="s">
        <v>1055</v>
      </c>
      <c r="E351" s="57">
        <f t="shared" si="80"/>
        <v>107.19336</v>
      </c>
      <c r="F351" s="32">
        <f t="shared" si="78"/>
        <v>126.48816479999999</v>
      </c>
      <c r="G351" s="80">
        <f t="shared" si="53"/>
        <v>141.76321859999996</v>
      </c>
      <c r="H351" s="19">
        <f t="shared" si="77"/>
        <v>167.28059794799995</v>
      </c>
      <c r="I351" s="80">
        <f t="shared" si="81"/>
        <v>231.26145729298918</v>
      </c>
      <c r="J351" s="19">
        <f t="shared" si="77"/>
        <v>272.8885196057272</v>
      </c>
      <c r="K351" s="94">
        <f t="shared" si="57"/>
        <v>1.6313220000000004</v>
      </c>
      <c r="N351">
        <f t="shared" si="79"/>
        <v>231.26145729298918</v>
      </c>
    </row>
    <row r="352" spans="1:14" ht="38.25">
      <c r="A352" s="481" t="s">
        <v>3148</v>
      </c>
      <c r="B352" s="482" t="s">
        <v>3037</v>
      </c>
      <c r="C352" s="207">
        <v>3.5</v>
      </c>
      <c r="D352" s="19">
        <v>669.95</v>
      </c>
      <c r="E352" s="19">
        <v>789.36</v>
      </c>
      <c r="F352" s="32"/>
      <c r="G352" s="19"/>
      <c r="H352" s="19"/>
      <c r="I352" s="19">
        <f>668.94*1.1*1.1</f>
        <v>809.4174000000003</v>
      </c>
      <c r="J352" s="19">
        <f t="shared" si="77"/>
        <v>955.1125320000002</v>
      </c>
      <c r="K352" s="94"/>
      <c r="N352">
        <f t="shared" si="79"/>
        <v>231.26211428571438</v>
      </c>
    </row>
    <row r="353" spans="1:14" ht="12.75">
      <c r="A353" s="483" t="s">
        <v>2341</v>
      </c>
      <c r="B353" s="945" t="s">
        <v>1582</v>
      </c>
      <c r="C353" s="945"/>
      <c r="D353" s="945"/>
      <c r="E353" s="945"/>
      <c r="F353" s="945"/>
      <c r="G353" s="945"/>
      <c r="H353" s="945"/>
      <c r="I353" s="945"/>
      <c r="J353" s="945"/>
      <c r="K353" s="111"/>
      <c r="L353" s="111"/>
      <c r="M353" s="111"/>
      <c r="N353" t="e">
        <f t="shared" si="79"/>
        <v>#DIV/0!</v>
      </c>
    </row>
    <row r="354" spans="1:14" ht="12.75">
      <c r="A354" s="498" t="s">
        <v>13</v>
      </c>
      <c r="B354" s="499" t="s">
        <v>1590</v>
      </c>
      <c r="C354" s="74">
        <v>0.5</v>
      </c>
      <c r="D354" s="38" t="s">
        <v>1055</v>
      </c>
      <c r="E354" s="57">
        <f>C354*97.36*1.101</f>
        <v>53.59668</v>
      </c>
      <c r="F354" s="32">
        <f t="shared" si="78"/>
        <v>63.244082399999996</v>
      </c>
      <c r="G354" s="80">
        <f t="shared" si="53"/>
        <v>70.88160929999998</v>
      </c>
      <c r="H354" s="19">
        <f t="shared" si="77"/>
        <v>83.64029897399998</v>
      </c>
      <c r="I354" s="80">
        <f>G354*1.2*1.05*1.07*1.1*1.1</f>
        <v>115.63072864649459</v>
      </c>
      <c r="J354" s="19">
        <f t="shared" si="77"/>
        <v>136.4442598028636</v>
      </c>
      <c r="K354" s="94">
        <f t="shared" si="57"/>
        <v>1.6313220000000004</v>
      </c>
      <c r="N354">
        <f t="shared" si="79"/>
        <v>231.26145729298918</v>
      </c>
    </row>
    <row r="355" spans="1:14" ht="12.75">
      <c r="A355" s="498" t="s">
        <v>14</v>
      </c>
      <c r="B355" s="499" t="s">
        <v>1580</v>
      </c>
      <c r="C355" s="74">
        <v>1</v>
      </c>
      <c r="D355" s="38" t="s">
        <v>1055</v>
      </c>
      <c r="E355" s="57">
        <f>C355*97.36*1.101</f>
        <v>107.19336</v>
      </c>
      <c r="F355" s="32">
        <f t="shared" si="78"/>
        <v>126.48816479999999</v>
      </c>
      <c r="G355" s="80">
        <f t="shared" si="53"/>
        <v>141.76321859999996</v>
      </c>
      <c r="H355" s="19">
        <f t="shared" si="77"/>
        <v>167.28059794799995</v>
      </c>
      <c r="I355" s="80">
        <f>G355*1.2*1.05*1.07*1.1*1.1</f>
        <v>231.26145729298918</v>
      </c>
      <c r="J355" s="19">
        <f t="shared" si="77"/>
        <v>272.8885196057272</v>
      </c>
      <c r="K355" s="94">
        <f t="shared" si="57"/>
        <v>1.6313220000000004</v>
      </c>
      <c r="N355">
        <f t="shared" si="79"/>
        <v>231.26145729298918</v>
      </c>
    </row>
    <row r="356" spans="1:14" ht="12.75">
      <c r="A356" s="498" t="s">
        <v>15</v>
      </c>
      <c r="B356" s="499" t="s">
        <v>1591</v>
      </c>
      <c r="C356" s="74" t="s">
        <v>1684</v>
      </c>
      <c r="D356" s="38" t="s">
        <v>1685</v>
      </c>
      <c r="E356" s="57">
        <f>C356*97.36*1.101</f>
        <v>321.58007999999995</v>
      </c>
      <c r="F356" s="32">
        <f t="shared" si="78"/>
        <v>379.4644943999999</v>
      </c>
      <c r="G356" s="80">
        <f aca="true" t="shared" si="82" ref="G356:G430">E356*1.15*1.15</f>
        <v>425.2896557999998</v>
      </c>
      <c r="H356" s="19">
        <f t="shared" si="77"/>
        <v>501.84179384399977</v>
      </c>
      <c r="I356" s="80">
        <f>G356*1.2*1.05*1.07*1.1*1.1</f>
        <v>693.7843718789675</v>
      </c>
      <c r="J356" s="19">
        <f t="shared" si="77"/>
        <v>818.6655588171816</v>
      </c>
      <c r="K356" s="94">
        <f aca="true" t="shared" si="83" ref="K356:K430">I356/G356</f>
        <v>1.6313220000000004</v>
      </c>
      <c r="N356">
        <f t="shared" si="79"/>
        <v>231.26145729298915</v>
      </c>
    </row>
    <row r="357" spans="1:14" ht="12.75">
      <c r="A357" s="498" t="s">
        <v>16</v>
      </c>
      <c r="B357" s="499" t="s">
        <v>1592</v>
      </c>
      <c r="C357" s="74" t="s">
        <v>1060</v>
      </c>
      <c r="D357" s="38" t="s">
        <v>1494</v>
      </c>
      <c r="E357" s="57">
        <f>C357*97.36*1.101</f>
        <v>160.79003999999998</v>
      </c>
      <c r="F357" s="32">
        <f t="shared" si="78"/>
        <v>189.73224719999996</v>
      </c>
      <c r="G357" s="80">
        <f t="shared" si="82"/>
        <v>212.6448278999999</v>
      </c>
      <c r="H357" s="19">
        <f t="shared" si="77"/>
        <v>250.92089692199988</v>
      </c>
      <c r="I357" s="80">
        <f>G357*1.2*1.05*1.07*1.1*1.1</f>
        <v>346.89218593948374</v>
      </c>
      <c r="J357" s="19">
        <f t="shared" si="77"/>
        <v>409.3327794085908</v>
      </c>
      <c r="K357" s="94">
        <f t="shared" si="83"/>
        <v>1.6313220000000004</v>
      </c>
      <c r="N357">
        <f t="shared" si="79"/>
        <v>231.26145729298915</v>
      </c>
    </row>
    <row r="358" spans="1:14" ht="38.25">
      <c r="A358" s="481" t="s">
        <v>3149</v>
      </c>
      <c r="B358" s="482" t="s">
        <v>3037</v>
      </c>
      <c r="C358" s="207">
        <v>3.5</v>
      </c>
      <c r="D358" s="19">
        <v>669.95</v>
      </c>
      <c r="E358" s="19">
        <v>789.36</v>
      </c>
      <c r="F358" s="32"/>
      <c r="G358" s="19"/>
      <c r="H358" s="19"/>
      <c r="I358" s="19">
        <f>668.94*1.1*1.1</f>
        <v>809.4174000000003</v>
      </c>
      <c r="J358" s="19">
        <f t="shared" si="77"/>
        <v>955.1125320000002</v>
      </c>
      <c r="K358" s="94"/>
      <c r="N358">
        <f t="shared" si="79"/>
        <v>231.26211428571438</v>
      </c>
    </row>
    <row r="359" spans="1:14" ht="12.75">
      <c r="A359" s="483" t="s">
        <v>2342</v>
      </c>
      <c r="B359" s="948" t="s">
        <v>1593</v>
      </c>
      <c r="C359" s="948"/>
      <c r="D359" s="948"/>
      <c r="E359" s="948"/>
      <c r="F359" s="948"/>
      <c r="G359" s="948"/>
      <c r="H359" s="948"/>
      <c r="I359" s="948"/>
      <c r="J359" s="948"/>
      <c r="K359" s="111"/>
      <c r="L359" s="111"/>
      <c r="M359" s="111"/>
      <c r="N359" t="e">
        <f t="shared" si="79"/>
        <v>#DIV/0!</v>
      </c>
    </row>
    <row r="360" spans="1:14" s="111" customFormat="1" ht="12.75">
      <c r="A360" s="498" t="s">
        <v>17</v>
      </c>
      <c r="B360" s="499" t="s">
        <v>1594</v>
      </c>
      <c r="C360" s="74" t="s">
        <v>2377</v>
      </c>
      <c r="D360" s="38" t="s">
        <v>2378</v>
      </c>
      <c r="E360" s="57">
        <f aca="true" t="shared" si="84" ref="E360:E366">C360*97.36*1.101</f>
        <v>428.77344</v>
      </c>
      <c r="F360" s="32">
        <f t="shared" si="78"/>
        <v>505.95265919999997</v>
      </c>
      <c r="G360" s="80">
        <f t="shared" si="82"/>
        <v>567.0528743999998</v>
      </c>
      <c r="H360" s="19">
        <f t="shared" si="77"/>
        <v>669.1223917919998</v>
      </c>
      <c r="I360" s="80">
        <f aca="true" t="shared" si="85" ref="I360:I366">G360*1.2*1.05*1.07*1.1*1.1</f>
        <v>925.0458291719567</v>
      </c>
      <c r="J360" s="19">
        <f t="shared" si="77"/>
        <v>1091.5540784229088</v>
      </c>
      <c r="K360" s="94">
        <f t="shared" si="83"/>
        <v>1.6313220000000004</v>
      </c>
      <c r="L360"/>
      <c r="M360"/>
      <c r="N360">
        <f t="shared" si="79"/>
        <v>231.26145729298918</v>
      </c>
    </row>
    <row r="361" spans="1:14" ht="12.75">
      <c r="A361" s="498" t="s">
        <v>18</v>
      </c>
      <c r="B361" s="499" t="s">
        <v>1686</v>
      </c>
      <c r="C361" s="74" t="s">
        <v>1054</v>
      </c>
      <c r="D361" s="38" t="s">
        <v>1055</v>
      </c>
      <c r="E361" s="57">
        <f t="shared" si="84"/>
        <v>107.19336</v>
      </c>
      <c r="F361" s="32">
        <f t="shared" si="78"/>
        <v>126.48816479999999</v>
      </c>
      <c r="G361" s="80">
        <f t="shared" si="82"/>
        <v>141.76321859999996</v>
      </c>
      <c r="H361" s="19">
        <f t="shared" si="77"/>
        <v>167.28059794799995</v>
      </c>
      <c r="I361" s="80">
        <f t="shared" si="85"/>
        <v>231.26145729298918</v>
      </c>
      <c r="J361" s="19">
        <f t="shared" si="77"/>
        <v>272.8885196057272</v>
      </c>
      <c r="K361" s="94">
        <f t="shared" si="83"/>
        <v>1.6313220000000004</v>
      </c>
      <c r="N361">
        <f t="shared" si="79"/>
        <v>231.26145729298918</v>
      </c>
    </row>
    <row r="362" spans="1:14" ht="12.75">
      <c r="A362" s="498" t="s">
        <v>19</v>
      </c>
      <c r="B362" s="499" t="s">
        <v>1595</v>
      </c>
      <c r="C362" s="74" t="s">
        <v>2508</v>
      </c>
      <c r="D362" s="38" t="s">
        <v>2509</v>
      </c>
      <c r="E362" s="57">
        <f t="shared" si="84"/>
        <v>214.38672</v>
      </c>
      <c r="F362" s="32">
        <f t="shared" si="78"/>
        <v>252.97632959999999</v>
      </c>
      <c r="G362" s="80">
        <f t="shared" si="82"/>
        <v>283.5264371999999</v>
      </c>
      <c r="H362" s="19">
        <f t="shared" si="77"/>
        <v>334.5611958959999</v>
      </c>
      <c r="I362" s="80">
        <f t="shared" si="85"/>
        <v>462.52291458597836</v>
      </c>
      <c r="J362" s="19">
        <f t="shared" si="77"/>
        <v>545.7770392114544</v>
      </c>
      <c r="K362" s="94">
        <f t="shared" si="83"/>
        <v>1.6313220000000004</v>
      </c>
      <c r="N362">
        <f t="shared" si="79"/>
        <v>231.26145729298918</v>
      </c>
    </row>
    <row r="363" spans="1:14" ht="12.75">
      <c r="A363" s="498" t="s">
        <v>20</v>
      </c>
      <c r="B363" s="499" t="s">
        <v>1596</v>
      </c>
      <c r="C363" s="74" t="s">
        <v>2508</v>
      </c>
      <c r="D363" s="38" t="s">
        <v>2509</v>
      </c>
      <c r="E363" s="57">
        <f t="shared" si="84"/>
        <v>214.38672</v>
      </c>
      <c r="F363" s="32">
        <f t="shared" si="78"/>
        <v>252.97632959999999</v>
      </c>
      <c r="G363" s="80">
        <f t="shared" si="82"/>
        <v>283.5264371999999</v>
      </c>
      <c r="H363" s="19">
        <f t="shared" si="77"/>
        <v>334.5611958959999</v>
      </c>
      <c r="I363" s="80">
        <f t="shared" si="85"/>
        <v>462.52291458597836</v>
      </c>
      <c r="J363" s="19">
        <f t="shared" si="77"/>
        <v>545.7770392114544</v>
      </c>
      <c r="K363" s="94">
        <f t="shared" si="83"/>
        <v>1.6313220000000004</v>
      </c>
      <c r="N363">
        <f t="shared" si="79"/>
        <v>231.26145729298918</v>
      </c>
    </row>
    <row r="364" spans="1:14" ht="12.75">
      <c r="A364" s="498" t="s">
        <v>21</v>
      </c>
      <c r="B364" s="499" t="s">
        <v>1586</v>
      </c>
      <c r="C364" s="74">
        <v>2.5</v>
      </c>
      <c r="D364" s="38" t="s">
        <v>1685</v>
      </c>
      <c r="E364" s="57">
        <f t="shared" si="84"/>
        <v>267.9834</v>
      </c>
      <c r="F364" s="32">
        <f t="shared" si="78"/>
        <v>316.220412</v>
      </c>
      <c r="G364" s="80">
        <f t="shared" si="82"/>
        <v>354.40804649999995</v>
      </c>
      <c r="H364" s="19">
        <f t="shared" si="77"/>
        <v>418.2014948699999</v>
      </c>
      <c r="I364" s="80">
        <f t="shared" si="85"/>
        <v>578.1536432324731</v>
      </c>
      <c r="J364" s="19">
        <f t="shared" si="77"/>
        <v>682.2212990143182</v>
      </c>
      <c r="K364" s="94">
        <f t="shared" si="83"/>
        <v>1.6313220000000004</v>
      </c>
      <c r="N364">
        <f t="shared" si="79"/>
        <v>231.26145729298923</v>
      </c>
    </row>
    <row r="365" spans="1:14" ht="12.75">
      <c r="A365" s="498" t="s">
        <v>22</v>
      </c>
      <c r="B365" s="499" t="s">
        <v>2387</v>
      </c>
      <c r="C365" s="74" t="s">
        <v>1060</v>
      </c>
      <c r="D365" s="38" t="s">
        <v>1494</v>
      </c>
      <c r="E365" s="57">
        <f t="shared" si="84"/>
        <v>160.79003999999998</v>
      </c>
      <c r="F365" s="32">
        <f t="shared" si="78"/>
        <v>189.73224719999996</v>
      </c>
      <c r="G365" s="80">
        <f t="shared" si="82"/>
        <v>212.6448278999999</v>
      </c>
      <c r="H365" s="19">
        <f t="shared" si="77"/>
        <v>250.92089692199988</v>
      </c>
      <c r="I365" s="80">
        <f t="shared" si="85"/>
        <v>346.89218593948374</v>
      </c>
      <c r="J365" s="19">
        <f t="shared" si="77"/>
        <v>409.3327794085908</v>
      </c>
      <c r="K365" s="94">
        <f t="shared" si="83"/>
        <v>1.6313220000000004</v>
      </c>
      <c r="N365">
        <f t="shared" si="79"/>
        <v>231.26145729298915</v>
      </c>
    </row>
    <row r="366" spans="1:14" ht="12.75">
      <c r="A366" s="498" t="s">
        <v>23</v>
      </c>
      <c r="B366" s="499" t="s">
        <v>1579</v>
      </c>
      <c r="C366" s="74" t="s">
        <v>2377</v>
      </c>
      <c r="D366" s="38" t="s">
        <v>2378</v>
      </c>
      <c r="E366" s="57">
        <f t="shared" si="84"/>
        <v>428.77344</v>
      </c>
      <c r="F366" s="32">
        <f t="shared" si="78"/>
        <v>505.95265919999997</v>
      </c>
      <c r="G366" s="80">
        <f t="shared" si="82"/>
        <v>567.0528743999998</v>
      </c>
      <c r="H366" s="19">
        <f t="shared" si="77"/>
        <v>669.1223917919998</v>
      </c>
      <c r="I366" s="80">
        <f t="shared" si="85"/>
        <v>925.0458291719567</v>
      </c>
      <c r="J366" s="19">
        <f t="shared" si="77"/>
        <v>1091.5540784229088</v>
      </c>
      <c r="K366" s="94">
        <f t="shared" si="83"/>
        <v>1.6313220000000004</v>
      </c>
      <c r="N366">
        <f t="shared" si="79"/>
        <v>231.26145729298918</v>
      </c>
    </row>
    <row r="367" spans="1:14" ht="38.25">
      <c r="A367" s="481" t="s">
        <v>3150</v>
      </c>
      <c r="B367" s="482" t="s">
        <v>3037</v>
      </c>
      <c r="C367" s="207">
        <v>3.5</v>
      </c>
      <c r="D367" s="19">
        <v>669.95</v>
      </c>
      <c r="E367" s="19">
        <v>789.36</v>
      </c>
      <c r="F367" s="32"/>
      <c r="G367" s="19"/>
      <c r="H367" s="19"/>
      <c r="I367" s="19">
        <f>668.94*1.1*1.1</f>
        <v>809.4174000000003</v>
      </c>
      <c r="J367" s="19">
        <f t="shared" si="77"/>
        <v>955.1125320000002</v>
      </c>
      <c r="K367" s="94"/>
      <c r="N367">
        <f t="shared" si="79"/>
        <v>231.26211428571438</v>
      </c>
    </row>
    <row r="368" spans="1:14" ht="12.75">
      <c r="A368" s="483" t="s">
        <v>2343</v>
      </c>
      <c r="B368" s="945" t="s">
        <v>2355</v>
      </c>
      <c r="C368" s="945"/>
      <c r="D368" s="945"/>
      <c r="E368" s="945"/>
      <c r="F368" s="945"/>
      <c r="G368" s="945"/>
      <c r="H368" s="945"/>
      <c r="I368" s="945"/>
      <c r="J368" s="945"/>
      <c r="K368" s="111"/>
      <c r="L368" s="111"/>
      <c r="M368" s="111"/>
      <c r="N368" t="e">
        <f t="shared" si="79"/>
        <v>#DIV/0!</v>
      </c>
    </row>
    <row r="369" spans="1:14" ht="12.75">
      <c r="A369" s="498" t="s">
        <v>24</v>
      </c>
      <c r="B369" s="499" t="s">
        <v>1590</v>
      </c>
      <c r="C369" s="74" t="s">
        <v>2371</v>
      </c>
      <c r="D369" s="38" t="s">
        <v>2372</v>
      </c>
      <c r="E369" s="57">
        <f aca="true" t="shared" si="86" ref="E369:E376">C369*97.36*1.101</f>
        <v>85.754688</v>
      </c>
      <c r="F369" s="32">
        <f t="shared" si="78"/>
        <v>101.19053183999999</v>
      </c>
      <c r="G369" s="80">
        <f t="shared" si="82"/>
        <v>113.41057487999998</v>
      </c>
      <c r="H369" s="19">
        <f t="shared" si="77"/>
        <v>133.82447835839997</v>
      </c>
      <c r="I369" s="80">
        <f aca="true" t="shared" si="87" ref="I369:I376">G369*1.2*1.05*1.07*1.1*1.1</f>
        <v>185.00916583439135</v>
      </c>
      <c r="J369" s="19">
        <f t="shared" si="77"/>
        <v>218.3108156845818</v>
      </c>
      <c r="K369" s="94">
        <f t="shared" si="83"/>
        <v>1.6313220000000002</v>
      </c>
      <c r="N369">
        <f t="shared" si="79"/>
        <v>231.26145729298918</v>
      </c>
    </row>
    <row r="370" spans="1:14" ht="12.75">
      <c r="A370" s="498" t="s">
        <v>25</v>
      </c>
      <c r="B370" s="499" t="s">
        <v>2356</v>
      </c>
      <c r="C370" s="74" t="s">
        <v>2508</v>
      </c>
      <c r="D370" s="38" t="s">
        <v>2509</v>
      </c>
      <c r="E370" s="57">
        <f t="shared" si="86"/>
        <v>214.38672</v>
      </c>
      <c r="F370" s="32">
        <f t="shared" si="78"/>
        <v>252.97632959999999</v>
      </c>
      <c r="G370" s="80">
        <f t="shared" si="82"/>
        <v>283.5264371999999</v>
      </c>
      <c r="H370" s="19">
        <f t="shared" si="77"/>
        <v>334.5611958959999</v>
      </c>
      <c r="I370" s="80">
        <f t="shared" si="87"/>
        <v>462.52291458597836</v>
      </c>
      <c r="J370" s="19">
        <f t="shared" si="77"/>
        <v>545.7770392114544</v>
      </c>
      <c r="K370" s="94">
        <f t="shared" si="83"/>
        <v>1.6313220000000004</v>
      </c>
      <c r="N370">
        <f t="shared" si="79"/>
        <v>231.26145729298918</v>
      </c>
    </row>
    <row r="371" spans="1:14" ht="12.75">
      <c r="A371" s="498" t="s">
        <v>26</v>
      </c>
      <c r="B371" s="499" t="s">
        <v>2357</v>
      </c>
      <c r="C371" s="74" t="s">
        <v>2392</v>
      </c>
      <c r="D371" s="38" t="s">
        <v>2393</v>
      </c>
      <c r="E371" s="57">
        <f t="shared" si="86"/>
        <v>267.9834</v>
      </c>
      <c r="F371" s="32">
        <f t="shared" si="78"/>
        <v>316.220412</v>
      </c>
      <c r="G371" s="80">
        <f t="shared" si="82"/>
        <v>354.40804649999995</v>
      </c>
      <c r="H371" s="19">
        <f t="shared" si="77"/>
        <v>418.2014948699999</v>
      </c>
      <c r="I371" s="80">
        <f t="shared" si="87"/>
        <v>578.1536432324731</v>
      </c>
      <c r="J371" s="19">
        <f t="shared" si="77"/>
        <v>682.2212990143182</v>
      </c>
      <c r="K371" s="94">
        <f t="shared" si="83"/>
        <v>1.6313220000000004</v>
      </c>
      <c r="N371">
        <f t="shared" si="79"/>
        <v>231.26145729298923</v>
      </c>
    </row>
    <row r="372" spans="1:14" ht="12.75">
      <c r="A372" s="498" t="s">
        <v>27</v>
      </c>
      <c r="B372" s="499" t="s">
        <v>2358</v>
      </c>
      <c r="C372" s="74" t="s">
        <v>1060</v>
      </c>
      <c r="D372" s="38" t="s">
        <v>1494</v>
      </c>
      <c r="E372" s="57">
        <f t="shared" si="86"/>
        <v>160.79003999999998</v>
      </c>
      <c r="F372" s="32">
        <f t="shared" si="78"/>
        <v>189.73224719999996</v>
      </c>
      <c r="G372" s="80">
        <f t="shared" si="82"/>
        <v>212.6448278999999</v>
      </c>
      <c r="H372" s="19">
        <f t="shared" si="77"/>
        <v>250.92089692199988</v>
      </c>
      <c r="I372" s="80">
        <f t="shared" si="87"/>
        <v>346.89218593948374</v>
      </c>
      <c r="J372" s="19">
        <f t="shared" si="77"/>
        <v>409.3327794085908</v>
      </c>
      <c r="K372" s="94">
        <f t="shared" si="83"/>
        <v>1.6313220000000004</v>
      </c>
      <c r="N372">
        <f t="shared" si="79"/>
        <v>231.26145729298915</v>
      </c>
    </row>
    <row r="373" spans="1:14" ht="12.75">
      <c r="A373" s="498" t="s">
        <v>28</v>
      </c>
      <c r="B373" s="499" t="s">
        <v>2359</v>
      </c>
      <c r="C373" s="74" t="s">
        <v>2508</v>
      </c>
      <c r="D373" s="38" t="s">
        <v>2509</v>
      </c>
      <c r="E373" s="57">
        <f t="shared" si="86"/>
        <v>214.38672</v>
      </c>
      <c r="F373" s="32">
        <f t="shared" si="78"/>
        <v>252.97632959999999</v>
      </c>
      <c r="G373" s="80">
        <f t="shared" si="82"/>
        <v>283.5264371999999</v>
      </c>
      <c r="H373" s="19">
        <f t="shared" si="77"/>
        <v>334.5611958959999</v>
      </c>
      <c r="I373" s="80">
        <f t="shared" si="87"/>
        <v>462.52291458597836</v>
      </c>
      <c r="J373" s="19">
        <f t="shared" si="77"/>
        <v>545.7770392114544</v>
      </c>
      <c r="K373" s="94">
        <f t="shared" si="83"/>
        <v>1.6313220000000004</v>
      </c>
      <c r="N373">
        <f t="shared" si="79"/>
        <v>231.26145729298918</v>
      </c>
    </row>
    <row r="374" spans="1:14" ht="12.75">
      <c r="A374" s="498" t="s">
        <v>29</v>
      </c>
      <c r="B374" s="499" t="s">
        <v>2360</v>
      </c>
      <c r="C374" s="74" t="s">
        <v>2508</v>
      </c>
      <c r="D374" s="38" t="s">
        <v>2509</v>
      </c>
      <c r="E374" s="57">
        <f t="shared" si="86"/>
        <v>214.38672</v>
      </c>
      <c r="F374" s="32">
        <f t="shared" si="78"/>
        <v>252.97632959999999</v>
      </c>
      <c r="G374" s="80">
        <f t="shared" si="82"/>
        <v>283.5264371999999</v>
      </c>
      <c r="H374" s="19">
        <f t="shared" si="77"/>
        <v>334.5611958959999</v>
      </c>
      <c r="I374" s="80">
        <f t="shared" si="87"/>
        <v>462.52291458597836</v>
      </c>
      <c r="J374" s="19">
        <f t="shared" si="77"/>
        <v>545.7770392114544</v>
      </c>
      <c r="K374" s="94">
        <f t="shared" si="83"/>
        <v>1.6313220000000004</v>
      </c>
      <c r="N374">
        <f t="shared" si="79"/>
        <v>231.26145729298918</v>
      </c>
    </row>
    <row r="375" spans="1:14" ht="12.75">
      <c r="A375" s="498" t="s">
        <v>30</v>
      </c>
      <c r="B375" s="499" t="s">
        <v>1807</v>
      </c>
      <c r="C375" s="74" t="s">
        <v>1060</v>
      </c>
      <c r="D375" s="38" t="s">
        <v>1494</v>
      </c>
      <c r="E375" s="57">
        <f t="shared" si="86"/>
        <v>160.79003999999998</v>
      </c>
      <c r="F375" s="32">
        <f t="shared" si="78"/>
        <v>189.73224719999996</v>
      </c>
      <c r="G375" s="80">
        <f t="shared" si="82"/>
        <v>212.6448278999999</v>
      </c>
      <c r="H375" s="19">
        <f t="shared" si="77"/>
        <v>250.92089692199988</v>
      </c>
      <c r="I375" s="80">
        <f t="shared" si="87"/>
        <v>346.89218593948374</v>
      </c>
      <c r="J375" s="19">
        <f t="shared" si="77"/>
        <v>409.3327794085908</v>
      </c>
      <c r="K375" s="94">
        <f t="shared" si="83"/>
        <v>1.6313220000000004</v>
      </c>
      <c r="N375">
        <f t="shared" si="79"/>
        <v>231.26145729298915</v>
      </c>
    </row>
    <row r="376" spans="1:14" ht="12.75">
      <c r="A376" s="498" t="s">
        <v>31</v>
      </c>
      <c r="B376" s="499" t="s">
        <v>1808</v>
      </c>
      <c r="C376" s="74" t="s">
        <v>1060</v>
      </c>
      <c r="D376" s="38" t="s">
        <v>1494</v>
      </c>
      <c r="E376" s="57">
        <f t="shared" si="86"/>
        <v>160.79003999999998</v>
      </c>
      <c r="F376" s="32">
        <f t="shared" si="78"/>
        <v>189.73224719999996</v>
      </c>
      <c r="G376" s="80">
        <f t="shared" si="82"/>
        <v>212.6448278999999</v>
      </c>
      <c r="H376" s="19">
        <f t="shared" si="77"/>
        <v>250.92089692199988</v>
      </c>
      <c r="I376" s="80">
        <f t="shared" si="87"/>
        <v>346.89218593948374</v>
      </c>
      <c r="J376" s="19">
        <f t="shared" si="77"/>
        <v>409.3327794085908</v>
      </c>
      <c r="K376" s="94">
        <f t="shared" si="83"/>
        <v>1.6313220000000004</v>
      </c>
      <c r="N376">
        <f t="shared" si="79"/>
        <v>231.26145729298915</v>
      </c>
    </row>
    <row r="377" spans="1:14" ht="38.25">
      <c r="A377" s="481" t="s">
        <v>3151</v>
      </c>
      <c r="B377" s="482" t="s">
        <v>3037</v>
      </c>
      <c r="C377" s="207">
        <v>3.5</v>
      </c>
      <c r="D377" s="19">
        <v>669.95</v>
      </c>
      <c r="E377" s="19">
        <v>789.36</v>
      </c>
      <c r="F377" s="32"/>
      <c r="G377" s="19"/>
      <c r="H377" s="19"/>
      <c r="I377" s="19">
        <f>668.94*1.1*1.1</f>
        <v>809.4174000000003</v>
      </c>
      <c r="J377" s="19">
        <f t="shared" si="77"/>
        <v>955.1125320000002</v>
      </c>
      <c r="K377" s="94"/>
      <c r="N377">
        <f t="shared" si="79"/>
        <v>231.26211428571438</v>
      </c>
    </row>
    <row r="378" spans="1:14" ht="12.75">
      <c r="A378" s="483" t="s">
        <v>2344</v>
      </c>
      <c r="B378" s="945" t="s">
        <v>1809</v>
      </c>
      <c r="C378" s="945"/>
      <c r="D378" s="945"/>
      <c r="E378" s="945"/>
      <c r="F378" s="945"/>
      <c r="G378" s="945"/>
      <c r="H378" s="945"/>
      <c r="I378" s="945"/>
      <c r="J378" s="945"/>
      <c r="K378" s="111"/>
      <c r="L378" s="111"/>
      <c r="M378" s="111"/>
      <c r="N378" t="e">
        <f t="shared" si="79"/>
        <v>#DIV/0!</v>
      </c>
    </row>
    <row r="379" spans="1:14" ht="12.75">
      <c r="A379" s="498" t="s">
        <v>32</v>
      </c>
      <c r="B379" s="499" t="s">
        <v>2358</v>
      </c>
      <c r="C379" s="74" t="s">
        <v>2384</v>
      </c>
      <c r="D379" s="38" t="s">
        <v>2385</v>
      </c>
      <c r="E379" s="57">
        <f aca="true" t="shared" si="88" ref="E379:E387">C379*97.36*1.101</f>
        <v>171.509376</v>
      </c>
      <c r="F379" s="32">
        <f t="shared" si="78"/>
        <v>202.38106367999998</v>
      </c>
      <c r="G379" s="80">
        <f t="shared" si="82"/>
        <v>226.82114975999997</v>
      </c>
      <c r="H379" s="19">
        <f t="shared" si="77"/>
        <v>267.64895671679994</v>
      </c>
      <c r="I379" s="80">
        <f aca="true" t="shared" si="89" ref="I379:I387">G379*1.2*1.05*1.07*1.1*1.1</f>
        <v>370.0183316687827</v>
      </c>
      <c r="J379" s="19">
        <f t="shared" si="77"/>
        <v>436.6216313691636</v>
      </c>
      <c r="K379" s="94">
        <f t="shared" si="83"/>
        <v>1.6313220000000002</v>
      </c>
      <c r="N379">
        <f t="shared" si="79"/>
        <v>231.26145729298918</v>
      </c>
    </row>
    <row r="380" spans="1:14" ht="12.75">
      <c r="A380" s="498" t="s">
        <v>33</v>
      </c>
      <c r="B380" s="499" t="s">
        <v>1810</v>
      </c>
      <c r="C380" s="74" t="s">
        <v>1703</v>
      </c>
      <c r="D380" s="38" t="s">
        <v>1811</v>
      </c>
      <c r="E380" s="57">
        <f t="shared" si="88"/>
        <v>246.54472799999996</v>
      </c>
      <c r="F380" s="32">
        <f t="shared" si="78"/>
        <v>290.92277903999997</v>
      </c>
      <c r="G380" s="80">
        <f t="shared" si="82"/>
        <v>326.0554027799999</v>
      </c>
      <c r="H380" s="19">
        <f t="shared" si="77"/>
        <v>384.74537528039986</v>
      </c>
      <c r="I380" s="80">
        <f t="shared" si="89"/>
        <v>531.901351773875</v>
      </c>
      <c r="J380" s="19">
        <f t="shared" si="77"/>
        <v>627.6435950931725</v>
      </c>
      <c r="K380" s="94">
        <f t="shared" si="83"/>
        <v>1.6313220000000002</v>
      </c>
      <c r="N380">
        <f t="shared" si="79"/>
        <v>231.26145729298915</v>
      </c>
    </row>
    <row r="381" spans="1:14" ht="12.75">
      <c r="A381" s="498" t="s">
        <v>34</v>
      </c>
      <c r="B381" s="499" t="s">
        <v>2499</v>
      </c>
      <c r="C381" s="74" t="s">
        <v>2500</v>
      </c>
      <c r="D381" s="38" t="s">
        <v>2501</v>
      </c>
      <c r="E381" s="57">
        <f t="shared" si="88"/>
        <v>32.158007999999995</v>
      </c>
      <c r="F381" s="32">
        <f t="shared" si="78"/>
        <v>37.946449439999995</v>
      </c>
      <c r="G381" s="80">
        <f t="shared" si="82"/>
        <v>42.52896557999998</v>
      </c>
      <c r="H381" s="19">
        <f t="shared" si="77"/>
        <v>50.184179384399975</v>
      </c>
      <c r="I381" s="80">
        <f t="shared" si="89"/>
        <v>69.37843718789675</v>
      </c>
      <c r="J381" s="19">
        <f t="shared" si="77"/>
        <v>81.86655588171816</v>
      </c>
      <c r="K381" s="94">
        <f t="shared" si="83"/>
        <v>1.6313220000000004</v>
      </c>
      <c r="N381">
        <f t="shared" si="79"/>
        <v>231.26145729298918</v>
      </c>
    </row>
    <row r="382" spans="1:14" ht="12.75">
      <c r="A382" s="498" t="s">
        <v>35</v>
      </c>
      <c r="B382" s="499" t="s">
        <v>2502</v>
      </c>
      <c r="C382" s="74" t="s">
        <v>1060</v>
      </c>
      <c r="D382" s="38" t="s">
        <v>1494</v>
      </c>
      <c r="E382" s="57">
        <f t="shared" si="88"/>
        <v>160.79003999999998</v>
      </c>
      <c r="F382" s="32">
        <f t="shared" si="78"/>
        <v>189.73224719999996</v>
      </c>
      <c r="G382" s="80">
        <f t="shared" si="82"/>
        <v>212.6448278999999</v>
      </c>
      <c r="H382" s="19">
        <f t="shared" si="77"/>
        <v>250.92089692199988</v>
      </c>
      <c r="I382" s="80">
        <f t="shared" si="89"/>
        <v>346.89218593948374</v>
      </c>
      <c r="J382" s="19">
        <f t="shared" si="77"/>
        <v>409.3327794085908</v>
      </c>
      <c r="K382" s="94">
        <f t="shared" si="83"/>
        <v>1.6313220000000004</v>
      </c>
      <c r="N382">
        <f t="shared" si="79"/>
        <v>231.26145729298915</v>
      </c>
    </row>
    <row r="383" spans="1:14" ht="12.75">
      <c r="A383" s="498" t="s">
        <v>36</v>
      </c>
      <c r="B383" s="499" t="s">
        <v>2503</v>
      </c>
      <c r="C383" s="74" t="s">
        <v>2381</v>
      </c>
      <c r="D383" s="38" t="s">
        <v>1497</v>
      </c>
      <c r="E383" s="57">
        <f t="shared" si="88"/>
        <v>21.438672</v>
      </c>
      <c r="F383" s="32">
        <f t="shared" si="78"/>
        <v>25.297632959999998</v>
      </c>
      <c r="G383" s="80">
        <f t="shared" si="82"/>
        <v>28.352643719999996</v>
      </c>
      <c r="H383" s="19">
        <f>G383*1.18</f>
        <v>33.45611958959999</v>
      </c>
      <c r="I383" s="80">
        <f t="shared" si="89"/>
        <v>46.25229145859784</v>
      </c>
      <c r="J383" s="19">
        <f aca="true" t="shared" si="90" ref="J383:J388">I383*1.18</f>
        <v>54.57770392114545</v>
      </c>
      <c r="K383" s="94">
        <f t="shared" si="83"/>
        <v>1.6313220000000002</v>
      </c>
      <c r="N383">
        <f t="shared" si="79"/>
        <v>231.26145729298918</v>
      </c>
    </row>
    <row r="384" spans="1:14" ht="12.75">
      <c r="A384" s="498" t="s">
        <v>37</v>
      </c>
      <c r="B384" s="499" t="s">
        <v>1567</v>
      </c>
      <c r="C384" s="74" t="s">
        <v>1060</v>
      </c>
      <c r="D384" s="38">
        <v>149.18</v>
      </c>
      <c r="E384" s="57">
        <f t="shared" si="88"/>
        <v>160.79003999999998</v>
      </c>
      <c r="F384" s="32">
        <f t="shared" si="78"/>
        <v>189.73224719999996</v>
      </c>
      <c r="G384" s="80">
        <f t="shared" si="82"/>
        <v>212.6448278999999</v>
      </c>
      <c r="H384" s="19">
        <f>G384*1.18</f>
        <v>250.92089692199988</v>
      </c>
      <c r="I384" s="80">
        <f t="shared" si="89"/>
        <v>346.89218593948374</v>
      </c>
      <c r="J384" s="19">
        <f t="shared" si="90"/>
        <v>409.3327794085908</v>
      </c>
      <c r="K384" s="94">
        <f t="shared" si="83"/>
        <v>1.6313220000000004</v>
      </c>
      <c r="N384">
        <f t="shared" si="79"/>
        <v>231.26145729298915</v>
      </c>
    </row>
    <row r="385" spans="1:14" s="111" customFormat="1" ht="15.75" customHeight="1">
      <c r="A385" s="498" t="s">
        <v>38</v>
      </c>
      <c r="B385" s="499" t="s">
        <v>1498</v>
      </c>
      <c r="C385" s="74" t="s">
        <v>2508</v>
      </c>
      <c r="D385" s="38" t="s">
        <v>2509</v>
      </c>
      <c r="E385" s="57">
        <f t="shared" si="88"/>
        <v>214.38672</v>
      </c>
      <c r="F385" s="32">
        <f t="shared" si="78"/>
        <v>252.97632959999999</v>
      </c>
      <c r="G385" s="80">
        <f t="shared" si="82"/>
        <v>283.5264371999999</v>
      </c>
      <c r="H385" s="19">
        <f>G385*1.18</f>
        <v>334.5611958959999</v>
      </c>
      <c r="I385" s="80">
        <f t="shared" si="89"/>
        <v>462.52291458597836</v>
      </c>
      <c r="J385" s="19">
        <f t="shared" si="90"/>
        <v>545.7770392114544</v>
      </c>
      <c r="K385" s="94">
        <f t="shared" si="83"/>
        <v>1.6313220000000004</v>
      </c>
      <c r="L385"/>
      <c r="M385"/>
      <c r="N385">
        <f t="shared" si="79"/>
        <v>231.26145729298918</v>
      </c>
    </row>
    <row r="386" spans="1:14" s="111" customFormat="1" ht="12.75">
      <c r="A386" s="498" t="s">
        <v>39</v>
      </c>
      <c r="B386" s="499" t="s">
        <v>1499</v>
      </c>
      <c r="C386" s="74" t="s">
        <v>2500</v>
      </c>
      <c r="D386" s="38" t="s">
        <v>2501</v>
      </c>
      <c r="E386" s="57">
        <f t="shared" si="88"/>
        <v>32.158007999999995</v>
      </c>
      <c r="F386" s="32">
        <f t="shared" si="78"/>
        <v>37.946449439999995</v>
      </c>
      <c r="G386" s="80">
        <f t="shared" si="82"/>
        <v>42.52896557999998</v>
      </c>
      <c r="H386" s="19">
        <f>G386*1.18</f>
        <v>50.184179384399975</v>
      </c>
      <c r="I386" s="80">
        <f t="shared" si="89"/>
        <v>69.37843718789675</v>
      </c>
      <c r="J386" s="19">
        <f t="shared" si="90"/>
        <v>81.86655588171816</v>
      </c>
      <c r="K386" s="94">
        <f t="shared" si="83"/>
        <v>1.6313220000000004</v>
      </c>
      <c r="L386"/>
      <c r="M386"/>
      <c r="N386">
        <f t="shared" si="79"/>
        <v>231.26145729298918</v>
      </c>
    </row>
    <row r="387" spans="1:14" ht="12.75">
      <c r="A387" s="498" t="s">
        <v>40</v>
      </c>
      <c r="B387" s="499" t="s">
        <v>1590</v>
      </c>
      <c r="C387" s="74">
        <v>0.5</v>
      </c>
      <c r="D387" s="38" t="s">
        <v>1055</v>
      </c>
      <c r="E387" s="57">
        <f t="shared" si="88"/>
        <v>53.59668</v>
      </c>
      <c r="F387" s="32">
        <f t="shared" si="78"/>
        <v>63.244082399999996</v>
      </c>
      <c r="G387" s="80">
        <f t="shared" si="82"/>
        <v>70.88160929999998</v>
      </c>
      <c r="H387" s="19">
        <f>G387*1.18</f>
        <v>83.64029897399998</v>
      </c>
      <c r="I387" s="80">
        <f t="shared" si="89"/>
        <v>115.63072864649459</v>
      </c>
      <c r="J387" s="19">
        <f t="shared" si="90"/>
        <v>136.4442598028636</v>
      </c>
      <c r="K387" s="94">
        <f t="shared" si="83"/>
        <v>1.6313220000000004</v>
      </c>
      <c r="N387">
        <f t="shared" si="79"/>
        <v>231.26145729298918</v>
      </c>
    </row>
    <row r="388" spans="1:14" ht="38.25">
      <c r="A388" s="481" t="s">
        <v>3152</v>
      </c>
      <c r="B388" s="482" t="s">
        <v>3037</v>
      </c>
      <c r="C388" s="207">
        <v>3.5</v>
      </c>
      <c r="D388" s="19">
        <v>669.95</v>
      </c>
      <c r="E388" s="19">
        <v>789.36</v>
      </c>
      <c r="F388" s="32"/>
      <c r="G388" s="19"/>
      <c r="H388" s="19"/>
      <c r="I388" s="19">
        <f>668.94*1.1*1.1</f>
        <v>809.4174000000003</v>
      </c>
      <c r="J388" s="19">
        <f t="shared" si="90"/>
        <v>955.1125320000002</v>
      </c>
      <c r="K388" s="94"/>
      <c r="N388">
        <f t="shared" si="79"/>
        <v>231.26211428571438</v>
      </c>
    </row>
    <row r="389" spans="1:14" ht="12.75">
      <c r="A389" s="483" t="s">
        <v>2345</v>
      </c>
      <c r="B389" s="948" t="s">
        <v>1500</v>
      </c>
      <c r="C389" s="948"/>
      <c r="D389" s="948"/>
      <c r="E389" s="948"/>
      <c r="F389" s="948"/>
      <c r="G389" s="948"/>
      <c r="H389" s="948"/>
      <c r="I389" s="948"/>
      <c r="J389" s="948"/>
      <c r="K389" s="111"/>
      <c r="L389" s="111"/>
      <c r="M389" s="111"/>
      <c r="N389" t="e">
        <f t="shared" si="79"/>
        <v>#DIV/0!</v>
      </c>
    </row>
    <row r="390" spans="1:14" ht="12.75">
      <c r="A390" s="498" t="s">
        <v>41</v>
      </c>
      <c r="B390" s="499" t="s">
        <v>1501</v>
      </c>
      <c r="C390" s="74" t="s">
        <v>1054</v>
      </c>
      <c r="D390" s="38" t="s">
        <v>1055</v>
      </c>
      <c r="E390" s="57">
        <f>C390*97.36*1.101</f>
        <v>107.19336</v>
      </c>
      <c r="F390" s="32">
        <f t="shared" si="78"/>
        <v>126.48816479999999</v>
      </c>
      <c r="G390" s="80">
        <f t="shared" si="82"/>
        <v>141.76321859999996</v>
      </c>
      <c r="H390" s="19">
        <f>G390*1.18</f>
        <v>167.28059794799995</v>
      </c>
      <c r="I390" s="80">
        <f>G390*1.2*1.05*1.07*1.1*1.1</f>
        <v>231.26145729298918</v>
      </c>
      <c r="J390" s="19">
        <f>I390*1.18</f>
        <v>272.8885196057272</v>
      </c>
      <c r="K390" s="94">
        <f t="shared" si="83"/>
        <v>1.6313220000000004</v>
      </c>
      <c r="N390">
        <f t="shared" si="79"/>
        <v>231.26145729298918</v>
      </c>
    </row>
    <row r="391" spans="1:14" s="111" customFormat="1" ht="12.75">
      <c r="A391" s="498" t="s">
        <v>42</v>
      </c>
      <c r="B391" s="499" t="s">
        <v>403</v>
      </c>
      <c r="C391" s="74" t="s">
        <v>1618</v>
      </c>
      <c r="D391" s="38" t="s">
        <v>1619</v>
      </c>
      <c r="E391" s="57">
        <f>C391*97.36*1.101</f>
        <v>128.63203199999998</v>
      </c>
      <c r="F391" s="32">
        <f t="shared" si="78"/>
        <v>151.78579775999998</v>
      </c>
      <c r="G391" s="80">
        <f t="shared" si="82"/>
        <v>170.11586231999993</v>
      </c>
      <c r="H391" s="19">
        <f>G391*1.18</f>
        <v>200.7367175375999</v>
      </c>
      <c r="I391" s="80">
        <f>G391*1.2*1.05*1.07*1.1*1.1</f>
        <v>277.513748751587</v>
      </c>
      <c r="J391" s="19">
        <f>I391*1.18</f>
        <v>327.4662235268726</v>
      </c>
      <c r="K391" s="94">
        <f t="shared" si="83"/>
        <v>1.6313220000000004</v>
      </c>
      <c r="L391"/>
      <c r="M391"/>
      <c r="N391">
        <f t="shared" si="79"/>
        <v>231.26145729298918</v>
      </c>
    </row>
    <row r="392" spans="1:14" ht="12.75">
      <c r="A392" s="498" t="s">
        <v>43</v>
      </c>
      <c r="B392" s="499" t="s">
        <v>1502</v>
      </c>
      <c r="C392" s="74" t="s">
        <v>2590</v>
      </c>
      <c r="D392" s="38" t="s">
        <v>2591</v>
      </c>
      <c r="E392" s="57">
        <f>C392*97.36*1.101</f>
        <v>42.877344</v>
      </c>
      <c r="F392" s="32">
        <f aca="true" t="shared" si="91" ref="F392:F484">E392*1.18</f>
        <v>50.595265919999996</v>
      </c>
      <c r="G392" s="80">
        <f t="shared" si="82"/>
        <v>56.70528743999999</v>
      </c>
      <c r="H392" s="19">
        <f>G392*1.18</f>
        <v>66.91223917919999</v>
      </c>
      <c r="I392" s="80">
        <f>G392*1.2*1.05*1.07*1.1*1.1</f>
        <v>92.50458291719568</v>
      </c>
      <c r="J392" s="19">
        <f>I392*1.18</f>
        <v>109.1554078422909</v>
      </c>
      <c r="K392" s="94">
        <f t="shared" si="83"/>
        <v>1.6313220000000002</v>
      </c>
      <c r="N392">
        <f t="shared" si="79"/>
        <v>231.26145729298918</v>
      </c>
    </row>
    <row r="393" spans="1:14" ht="12.75">
      <c r="A393" s="498" t="s">
        <v>44</v>
      </c>
      <c r="B393" s="499" t="s">
        <v>1590</v>
      </c>
      <c r="C393" s="74" t="s">
        <v>1054</v>
      </c>
      <c r="D393" s="38" t="s">
        <v>1055</v>
      </c>
      <c r="E393" s="57">
        <f>C393*97.36*1.101</f>
        <v>107.19336</v>
      </c>
      <c r="F393" s="32">
        <f t="shared" si="91"/>
        <v>126.48816479999999</v>
      </c>
      <c r="G393" s="80">
        <f t="shared" si="82"/>
        <v>141.76321859999996</v>
      </c>
      <c r="H393" s="19">
        <f>G393*1.18</f>
        <v>167.28059794799995</v>
      </c>
      <c r="I393" s="80">
        <f>G393*1.2*1.05*1.07*1.1*1.1</f>
        <v>231.26145729298918</v>
      </c>
      <c r="J393" s="19">
        <f>I393*1.18</f>
        <v>272.8885196057272</v>
      </c>
      <c r="K393" s="94">
        <f t="shared" si="83"/>
        <v>1.6313220000000004</v>
      </c>
      <c r="N393">
        <f t="shared" si="79"/>
        <v>231.26145729298918</v>
      </c>
    </row>
    <row r="394" spans="1:14" ht="38.25">
      <c r="A394" s="481" t="s">
        <v>3153</v>
      </c>
      <c r="B394" s="482" t="s">
        <v>3037</v>
      </c>
      <c r="C394" s="207">
        <v>3.5</v>
      </c>
      <c r="D394" s="19">
        <v>669.95</v>
      </c>
      <c r="E394" s="19">
        <v>789.36</v>
      </c>
      <c r="F394" s="32"/>
      <c r="G394" s="19"/>
      <c r="H394" s="19"/>
      <c r="I394" s="19">
        <f>668.94*1.1*1.1</f>
        <v>809.4174000000003</v>
      </c>
      <c r="J394" s="19">
        <f>I394*1.18</f>
        <v>955.1125320000002</v>
      </c>
      <c r="K394" s="94"/>
      <c r="N394">
        <f t="shared" si="79"/>
        <v>231.26211428571438</v>
      </c>
    </row>
    <row r="395" spans="1:14" ht="12.75">
      <c r="A395" s="483" t="s">
        <v>2346</v>
      </c>
      <c r="B395" s="945" t="s">
        <v>1503</v>
      </c>
      <c r="C395" s="945"/>
      <c r="D395" s="945"/>
      <c r="E395" s="945"/>
      <c r="F395" s="945"/>
      <c r="G395" s="945"/>
      <c r="H395" s="945"/>
      <c r="I395" s="945"/>
      <c r="J395" s="945"/>
      <c r="K395" s="111"/>
      <c r="L395" s="111"/>
      <c r="M395" s="111"/>
      <c r="N395" t="e">
        <f t="shared" si="79"/>
        <v>#DIV/0!</v>
      </c>
    </row>
    <row r="396" spans="1:14" ht="12.75">
      <c r="A396" s="498" t="s">
        <v>45</v>
      </c>
      <c r="B396" s="499" t="s">
        <v>1504</v>
      </c>
      <c r="C396" s="74" t="s">
        <v>1054</v>
      </c>
      <c r="D396" s="38" t="s">
        <v>1055</v>
      </c>
      <c r="E396" s="57">
        <f aca="true" t="shared" si="92" ref="E396:E487">C396*97.36*1.101</f>
        <v>107.19336</v>
      </c>
      <c r="F396" s="32">
        <f t="shared" si="91"/>
        <v>126.48816479999999</v>
      </c>
      <c r="G396" s="80">
        <f t="shared" si="82"/>
        <v>141.76321859999996</v>
      </c>
      <c r="H396" s="19">
        <f>G396*1.18</f>
        <v>167.28059794799995</v>
      </c>
      <c r="I396" s="80">
        <f>G396*1.2*1.05*1.07*1.1*1.1</f>
        <v>231.26145729298918</v>
      </c>
      <c r="J396" s="19">
        <f>I396*1.18</f>
        <v>272.8885196057272</v>
      </c>
      <c r="K396" s="94">
        <f t="shared" si="83"/>
        <v>1.6313220000000004</v>
      </c>
      <c r="N396">
        <f t="shared" si="79"/>
        <v>231.26145729298918</v>
      </c>
    </row>
    <row r="397" spans="1:14" s="111" customFormat="1" ht="12.75">
      <c r="A397" s="498" t="s">
        <v>46</v>
      </c>
      <c r="B397" s="499" t="s">
        <v>832</v>
      </c>
      <c r="C397" s="74" t="s">
        <v>1057</v>
      </c>
      <c r="D397" s="38" t="s">
        <v>1058</v>
      </c>
      <c r="E397" s="57">
        <f t="shared" si="92"/>
        <v>53.59668</v>
      </c>
      <c r="F397" s="32">
        <f t="shared" si="91"/>
        <v>63.244082399999996</v>
      </c>
      <c r="G397" s="80">
        <f t="shared" si="82"/>
        <v>70.88160929999998</v>
      </c>
      <c r="H397" s="19">
        <f>G397*1.18</f>
        <v>83.64029897399998</v>
      </c>
      <c r="I397" s="80">
        <f>G397*1.2*1.05*1.07*1.1*1.1</f>
        <v>115.63072864649459</v>
      </c>
      <c r="J397" s="19">
        <f>I397*1.18</f>
        <v>136.4442598028636</v>
      </c>
      <c r="K397" s="94">
        <f t="shared" si="83"/>
        <v>1.6313220000000004</v>
      </c>
      <c r="L397"/>
      <c r="M397"/>
      <c r="N397">
        <f t="shared" si="79"/>
        <v>231.26145729298918</v>
      </c>
    </row>
    <row r="398" spans="1:14" ht="12.75">
      <c r="A398" s="498" t="s">
        <v>47</v>
      </c>
      <c r="B398" s="499" t="s">
        <v>1505</v>
      </c>
      <c r="C398" s="204"/>
      <c r="D398" s="39"/>
      <c r="E398" s="57"/>
      <c r="F398" s="32"/>
      <c r="G398" s="80"/>
      <c r="H398" s="19"/>
      <c r="I398" s="80"/>
      <c r="J398" s="19"/>
      <c r="K398" s="94"/>
      <c r="N398" t="e">
        <f t="shared" si="79"/>
        <v>#DIV/0!</v>
      </c>
    </row>
    <row r="399" spans="1:14" ht="12.75">
      <c r="A399" s="498" t="s">
        <v>48</v>
      </c>
      <c r="B399" s="506" t="s">
        <v>1506</v>
      </c>
      <c r="C399" s="74" t="s">
        <v>1054</v>
      </c>
      <c r="D399" s="38" t="s">
        <v>1055</v>
      </c>
      <c r="E399" s="57">
        <f t="shared" si="92"/>
        <v>107.19336</v>
      </c>
      <c r="F399" s="32">
        <f t="shared" si="91"/>
        <v>126.48816479999999</v>
      </c>
      <c r="G399" s="80">
        <f t="shared" si="82"/>
        <v>141.76321859999996</v>
      </c>
      <c r="H399" s="19">
        <f>G399*1.18</f>
        <v>167.28059794799995</v>
      </c>
      <c r="I399" s="80">
        <f>G399*1.2*1.05*1.07*1.1*1.1</f>
        <v>231.26145729298918</v>
      </c>
      <c r="J399" s="19">
        <f>I399*1.18</f>
        <v>272.8885196057272</v>
      </c>
      <c r="K399" s="94">
        <f t="shared" si="83"/>
        <v>1.6313220000000004</v>
      </c>
      <c r="N399">
        <f t="shared" si="79"/>
        <v>231.26145729298918</v>
      </c>
    </row>
    <row r="400" spans="1:14" ht="12.75">
      <c r="A400" s="498" t="s">
        <v>49</v>
      </c>
      <c r="B400" s="506" t="s">
        <v>1507</v>
      </c>
      <c r="C400" s="74" t="s">
        <v>2318</v>
      </c>
      <c r="D400" s="38" t="s">
        <v>2319</v>
      </c>
      <c r="E400" s="57">
        <f t="shared" si="92"/>
        <v>375.17676</v>
      </c>
      <c r="F400" s="32">
        <f t="shared" si="91"/>
        <v>442.7085768</v>
      </c>
      <c r="G400" s="80">
        <f t="shared" si="82"/>
        <v>496.1712650999999</v>
      </c>
      <c r="H400" s="19">
        <f>G400*1.18</f>
        <v>585.4820928179998</v>
      </c>
      <c r="I400" s="80">
        <f>G400*1.2*1.05*1.07*1.1*1.1</f>
        <v>809.4151005254622</v>
      </c>
      <c r="J400" s="19">
        <f>I400*1.18</f>
        <v>955.1098186200453</v>
      </c>
      <c r="K400" s="94">
        <f t="shared" si="83"/>
        <v>1.6313220000000004</v>
      </c>
      <c r="N400">
        <f t="shared" si="79"/>
        <v>231.2614572929892</v>
      </c>
    </row>
    <row r="401" spans="1:14" ht="12.75">
      <c r="A401" s="498" t="s">
        <v>50</v>
      </c>
      <c r="B401" s="499" t="s">
        <v>1508</v>
      </c>
      <c r="C401" s="204"/>
      <c r="D401" s="39"/>
      <c r="E401" s="57"/>
      <c r="F401" s="32"/>
      <c r="G401" s="80"/>
      <c r="H401" s="19"/>
      <c r="I401" s="80"/>
      <c r="J401" s="19"/>
      <c r="K401" s="94"/>
      <c r="N401" t="e">
        <f aca="true" t="shared" si="93" ref="N401:N464">I401/C401</f>
        <v>#DIV/0!</v>
      </c>
    </row>
    <row r="402" spans="1:14" ht="12.75">
      <c r="A402" s="498" t="s">
        <v>51</v>
      </c>
      <c r="B402" s="506" t="s">
        <v>1509</v>
      </c>
      <c r="C402" s="74" t="s">
        <v>1057</v>
      </c>
      <c r="D402" s="38" t="s">
        <v>1058</v>
      </c>
      <c r="E402" s="57">
        <f t="shared" si="92"/>
        <v>53.59668</v>
      </c>
      <c r="F402" s="32">
        <f t="shared" si="91"/>
        <v>63.244082399999996</v>
      </c>
      <c r="G402" s="80">
        <f t="shared" si="82"/>
        <v>70.88160929999998</v>
      </c>
      <c r="H402" s="19">
        <f>G402*1.18</f>
        <v>83.64029897399998</v>
      </c>
      <c r="I402" s="80">
        <f>G402*1.2*1.05*1.07*1.1*1.1</f>
        <v>115.63072864649459</v>
      </c>
      <c r="J402" s="19">
        <f>I402*1.18</f>
        <v>136.4442598028636</v>
      </c>
      <c r="K402" s="94">
        <f t="shared" si="83"/>
        <v>1.6313220000000004</v>
      </c>
      <c r="N402">
        <f t="shared" si="93"/>
        <v>231.26145729298918</v>
      </c>
    </row>
    <row r="403" spans="1:14" s="111" customFormat="1" ht="12.75">
      <c r="A403" s="498" t="s">
        <v>52</v>
      </c>
      <c r="B403" s="506" t="s">
        <v>1510</v>
      </c>
      <c r="C403" s="74" t="s">
        <v>2508</v>
      </c>
      <c r="D403" s="38" t="s">
        <v>2509</v>
      </c>
      <c r="E403" s="57">
        <f t="shared" si="92"/>
        <v>214.38672</v>
      </c>
      <c r="F403" s="32">
        <f t="shared" si="91"/>
        <v>252.97632959999999</v>
      </c>
      <c r="G403" s="80">
        <f t="shared" si="82"/>
        <v>283.5264371999999</v>
      </c>
      <c r="H403" s="19">
        <f>G403*1.18</f>
        <v>334.5611958959999</v>
      </c>
      <c r="I403" s="80">
        <f>G403*1.2*1.05*1.07*1.1*1.1</f>
        <v>462.52291458597836</v>
      </c>
      <c r="J403" s="19">
        <f>I403*1.18</f>
        <v>545.7770392114544</v>
      </c>
      <c r="K403" s="94">
        <f t="shared" si="83"/>
        <v>1.6313220000000004</v>
      </c>
      <c r="L403"/>
      <c r="M403"/>
      <c r="N403">
        <f t="shared" si="93"/>
        <v>231.26145729298918</v>
      </c>
    </row>
    <row r="404" spans="1:14" ht="38.25">
      <c r="A404" s="481" t="s">
        <v>3154</v>
      </c>
      <c r="B404" s="482" t="s">
        <v>3037</v>
      </c>
      <c r="C404" s="207">
        <v>3.5</v>
      </c>
      <c r="D404" s="19">
        <v>669.95</v>
      </c>
      <c r="E404" s="19">
        <v>789.36</v>
      </c>
      <c r="F404" s="32"/>
      <c r="G404" s="19"/>
      <c r="H404" s="19"/>
      <c r="I404" s="19">
        <f>668.94*1.1*1.1</f>
        <v>809.4174000000003</v>
      </c>
      <c r="J404" s="19">
        <f>I404*1.18</f>
        <v>955.1125320000002</v>
      </c>
      <c r="K404" s="490"/>
      <c r="L404" s="37"/>
      <c r="M404" s="37"/>
      <c r="N404">
        <f t="shared" si="93"/>
        <v>231.26211428571438</v>
      </c>
    </row>
    <row r="405" spans="1:14" ht="12.75">
      <c r="A405" s="483" t="s">
        <v>2347</v>
      </c>
      <c r="B405" s="945" t="s">
        <v>1511</v>
      </c>
      <c r="C405" s="945"/>
      <c r="D405" s="945"/>
      <c r="E405" s="945"/>
      <c r="F405" s="945"/>
      <c r="G405" s="945"/>
      <c r="H405" s="945"/>
      <c r="I405" s="945"/>
      <c r="J405" s="945"/>
      <c r="K405" s="111"/>
      <c r="L405" s="111"/>
      <c r="M405" s="111"/>
      <c r="N405" t="e">
        <f t="shared" si="93"/>
        <v>#DIV/0!</v>
      </c>
    </row>
    <row r="406" spans="1:14" ht="12.75">
      <c r="A406" s="498" t="s">
        <v>53</v>
      </c>
      <c r="B406" s="499" t="s">
        <v>1590</v>
      </c>
      <c r="C406" s="74" t="s">
        <v>2371</v>
      </c>
      <c r="D406" s="38" t="s">
        <v>2372</v>
      </c>
      <c r="E406" s="57">
        <f t="shared" si="92"/>
        <v>85.754688</v>
      </c>
      <c r="F406" s="32">
        <f t="shared" si="91"/>
        <v>101.19053183999999</v>
      </c>
      <c r="G406" s="80">
        <f t="shared" si="82"/>
        <v>113.41057487999998</v>
      </c>
      <c r="H406" s="19">
        <f aca="true" t="shared" si="94" ref="H406:H413">G406*1.18</f>
        <v>133.82447835839997</v>
      </c>
      <c r="I406" s="80">
        <f aca="true" t="shared" si="95" ref="I406:I413">G406*1.2*1.05*1.07*1.1*1.1</f>
        <v>185.00916583439135</v>
      </c>
      <c r="J406" s="19">
        <f aca="true" t="shared" si="96" ref="J406:J414">I406*1.18</f>
        <v>218.3108156845818</v>
      </c>
      <c r="K406" s="94">
        <f t="shared" si="83"/>
        <v>1.6313220000000002</v>
      </c>
      <c r="N406">
        <f t="shared" si="93"/>
        <v>231.26145729298918</v>
      </c>
    </row>
    <row r="407" spans="1:14" ht="12.75">
      <c r="A407" s="498" t="s">
        <v>54</v>
      </c>
      <c r="B407" s="499" t="s">
        <v>1512</v>
      </c>
      <c r="C407" s="74" t="s">
        <v>1577</v>
      </c>
      <c r="D407" s="38" t="s">
        <v>1578</v>
      </c>
      <c r="E407" s="57">
        <f t="shared" si="92"/>
        <v>64.31601599999999</v>
      </c>
      <c r="F407" s="32">
        <f t="shared" si="91"/>
        <v>75.89289887999999</v>
      </c>
      <c r="G407" s="80">
        <f t="shared" si="82"/>
        <v>85.05793115999997</v>
      </c>
      <c r="H407" s="19">
        <f t="shared" si="94"/>
        <v>100.36835876879995</v>
      </c>
      <c r="I407" s="80">
        <f t="shared" si="95"/>
        <v>138.7568743757935</v>
      </c>
      <c r="J407" s="19">
        <f t="shared" si="96"/>
        <v>163.7331117634363</v>
      </c>
      <c r="K407" s="94">
        <f t="shared" si="83"/>
        <v>1.6313220000000004</v>
      </c>
      <c r="N407">
        <f t="shared" si="93"/>
        <v>231.26145729298918</v>
      </c>
    </row>
    <row r="408" spans="1:14" s="111" customFormat="1" ht="79.5" customHeight="1">
      <c r="A408" s="498" t="s">
        <v>55</v>
      </c>
      <c r="B408" s="499" t="s">
        <v>404</v>
      </c>
      <c r="C408" s="74" t="s">
        <v>2508</v>
      </c>
      <c r="D408" s="38" t="s">
        <v>2509</v>
      </c>
      <c r="E408" s="57">
        <f t="shared" si="92"/>
        <v>214.38672</v>
      </c>
      <c r="F408" s="32">
        <f t="shared" si="91"/>
        <v>252.97632959999999</v>
      </c>
      <c r="G408" s="80">
        <f t="shared" si="82"/>
        <v>283.5264371999999</v>
      </c>
      <c r="H408" s="19">
        <f t="shared" si="94"/>
        <v>334.5611958959999</v>
      </c>
      <c r="I408" s="80">
        <f t="shared" si="95"/>
        <v>462.52291458597836</v>
      </c>
      <c r="J408" s="19">
        <f t="shared" si="96"/>
        <v>545.7770392114544</v>
      </c>
      <c r="K408" s="94">
        <f t="shared" si="83"/>
        <v>1.6313220000000004</v>
      </c>
      <c r="L408"/>
      <c r="M408"/>
      <c r="N408">
        <f t="shared" si="93"/>
        <v>231.26145729298918</v>
      </c>
    </row>
    <row r="409" spans="1:14" ht="12.75">
      <c r="A409" s="509" t="s">
        <v>56</v>
      </c>
      <c r="B409" s="499" t="s">
        <v>405</v>
      </c>
      <c r="C409" s="74">
        <v>3</v>
      </c>
      <c r="D409" s="38">
        <v>298.35</v>
      </c>
      <c r="E409" s="57">
        <f t="shared" si="92"/>
        <v>321.58007999999995</v>
      </c>
      <c r="F409" s="32">
        <f t="shared" si="91"/>
        <v>379.4644943999999</v>
      </c>
      <c r="G409" s="80">
        <f t="shared" si="82"/>
        <v>425.2896557999998</v>
      </c>
      <c r="H409" s="19">
        <f t="shared" si="94"/>
        <v>501.84179384399977</v>
      </c>
      <c r="I409" s="80">
        <f t="shared" si="95"/>
        <v>693.7843718789675</v>
      </c>
      <c r="J409" s="19">
        <f t="shared" si="96"/>
        <v>818.6655588171816</v>
      </c>
      <c r="K409" s="94">
        <f t="shared" si="83"/>
        <v>1.6313220000000004</v>
      </c>
      <c r="N409">
        <f t="shared" si="93"/>
        <v>231.26145729298915</v>
      </c>
    </row>
    <row r="410" spans="1:14" ht="12.75">
      <c r="A410" s="508" t="s">
        <v>57</v>
      </c>
      <c r="B410" s="499" t="s">
        <v>427</v>
      </c>
      <c r="C410" s="74">
        <v>8</v>
      </c>
      <c r="D410" s="38">
        <v>298.35</v>
      </c>
      <c r="E410" s="57">
        <f t="shared" si="92"/>
        <v>857.54688</v>
      </c>
      <c r="F410" s="32">
        <f t="shared" si="91"/>
        <v>1011.9053183999999</v>
      </c>
      <c r="G410" s="80">
        <f t="shared" si="82"/>
        <v>1134.1057487999997</v>
      </c>
      <c r="H410" s="19">
        <f t="shared" si="94"/>
        <v>1338.2447835839996</v>
      </c>
      <c r="I410" s="80">
        <f t="shared" si="95"/>
        <v>1850.0916583439134</v>
      </c>
      <c r="J410" s="19">
        <f t="shared" si="96"/>
        <v>2183.1081568458176</v>
      </c>
      <c r="K410" s="94">
        <f t="shared" si="83"/>
        <v>1.6313220000000004</v>
      </c>
      <c r="N410">
        <f t="shared" si="93"/>
        <v>231.26145729298918</v>
      </c>
    </row>
    <row r="411" spans="1:14" ht="12.75">
      <c r="A411" s="508" t="s">
        <v>58</v>
      </c>
      <c r="B411" s="499" t="s">
        <v>428</v>
      </c>
      <c r="C411" s="74">
        <v>5.7</v>
      </c>
      <c r="D411" s="38">
        <v>298.35</v>
      </c>
      <c r="E411" s="57">
        <f>C411*97.36*1.101</f>
        <v>611.002152</v>
      </c>
      <c r="F411" s="32">
        <f t="shared" si="91"/>
        <v>720.98253936</v>
      </c>
      <c r="G411" s="80">
        <f t="shared" si="82"/>
        <v>808.0503460199999</v>
      </c>
      <c r="H411" s="19">
        <f t="shared" si="94"/>
        <v>953.4994083035998</v>
      </c>
      <c r="I411" s="80">
        <f t="shared" si="95"/>
        <v>1318.1903065700385</v>
      </c>
      <c r="J411" s="19">
        <f t="shared" si="96"/>
        <v>1555.4645617526453</v>
      </c>
      <c r="K411" s="94">
        <f t="shared" si="83"/>
        <v>1.6313220000000004</v>
      </c>
      <c r="N411">
        <f t="shared" si="93"/>
        <v>231.2614572929892</v>
      </c>
    </row>
    <row r="412" spans="1:14" ht="12.75">
      <c r="A412" s="508" t="s">
        <v>59</v>
      </c>
      <c r="B412" s="499" t="s">
        <v>429</v>
      </c>
      <c r="C412" s="74">
        <v>4</v>
      </c>
      <c r="D412" s="38">
        <v>298.35</v>
      </c>
      <c r="E412" s="57">
        <f>C412*97.36*1.101</f>
        <v>428.77344</v>
      </c>
      <c r="F412" s="32">
        <f t="shared" si="91"/>
        <v>505.95265919999997</v>
      </c>
      <c r="G412" s="80">
        <f t="shared" si="82"/>
        <v>567.0528743999998</v>
      </c>
      <c r="H412" s="19">
        <f t="shared" si="94"/>
        <v>669.1223917919998</v>
      </c>
      <c r="I412" s="80">
        <f t="shared" si="95"/>
        <v>925.0458291719567</v>
      </c>
      <c r="J412" s="19">
        <f t="shared" si="96"/>
        <v>1091.5540784229088</v>
      </c>
      <c r="K412" s="94">
        <f t="shared" si="83"/>
        <v>1.6313220000000004</v>
      </c>
      <c r="N412">
        <f t="shared" si="93"/>
        <v>231.26145729298918</v>
      </c>
    </row>
    <row r="413" spans="1:14" ht="12.75">
      <c r="A413" s="508" t="s">
        <v>60</v>
      </c>
      <c r="B413" s="499" t="s">
        <v>430</v>
      </c>
      <c r="C413" s="74">
        <v>3</v>
      </c>
      <c r="D413" s="38">
        <v>298.35</v>
      </c>
      <c r="E413" s="57">
        <f>C413*97.36*1.101</f>
        <v>321.58007999999995</v>
      </c>
      <c r="F413" s="32">
        <f t="shared" si="91"/>
        <v>379.4644943999999</v>
      </c>
      <c r="G413" s="80">
        <f t="shared" si="82"/>
        <v>425.2896557999998</v>
      </c>
      <c r="H413" s="19">
        <f t="shared" si="94"/>
        <v>501.84179384399977</v>
      </c>
      <c r="I413" s="80">
        <f t="shared" si="95"/>
        <v>693.7843718789675</v>
      </c>
      <c r="J413" s="19">
        <f t="shared" si="96"/>
        <v>818.6655588171816</v>
      </c>
      <c r="K413" s="94">
        <f t="shared" si="83"/>
        <v>1.6313220000000004</v>
      </c>
      <c r="N413">
        <f t="shared" si="93"/>
        <v>231.26145729298915</v>
      </c>
    </row>
    <row r="414" spans="1:14" ht="38.25">
      <c r="A414" s="481" t="s">
        <v>3155</v>
      </c>
      <c r="B414" s="482" t="s">
        <v>3037</v>
      </c>
      <c r="C414" s="207">
        <v>3.5</v>
      </c>
      <c r="D414" s="19">
        <v>669.95</v>
      </c>
      <c r="E414" s="19">
        <v>789.36</v>
      </c>
      <c r="F414" s="32"/>
      <c r="G414" s="19"/>
      <c r="H414" s="19"/>
      <c r="I414" s="19">
        <f>668.94*1.1*1.1</f>
        <v>809.4174000000003</v>
      </c>
      <c r="J414" s="19">
        <f t="shared" si="96"/>
        <v>955.1125320000002</v>
      </c>
      <c r="K414" s="490"/>
      <c r="L414" s="37"/>
      <c r="M414" s="37"/>
      <c r="N414">
        <f t="shared" si="93"/>
        <v>231.26211428571438</v>
      </c>
    </row>
    <row r="415" spans="1:14" ht="12.75">
      <c r="A415" s="483" t="s">
        <v>2348</v>
      </c>
      <c r="B415" s="945" t="s">
        <v>1954</v>
      </c>
      <c r="C415" s="945"/>
      <c r="D415" s="945"/>
      <c r="E415" s="945"/>
      <c r="F415" s="945"/>
      <c r="G415" s="945"/>
      <c r="H415" s="945"/>
      <c r="I415" s="945"/>
      <c r="J415" s="945"/>
      <c r="K415" s="111"/>
      <c r="L415" s="111"/>
      <c r="M415" s="111"/>
      <c r="N415" t="e">
        <f t="shared" si="93"/>
        <v>#DIV/0!</v>
      </c>
    </row>
    <row r="416" spans="1:14" ht="12.75">
      <c r="A416" s="498" t="s">
        <v>61</v>
      </c>
      <c r="B416" s="499" t="s">
        <v>1107</v>
      </c>
      <c r="C416" s="74">
        <v>2</v>
      </c>
      <c r="D416" s="38">
        <v>198.9</v>
      </c>
      <c r="E416" s="57">
        <f t="shared" si="92"/>
        <v>214.38672</v>
      </c>
      <c r="F416" s="32">
        <f t="shared" si="91"/>
        <v>252.97632959999999</v>
      </c>
      <c r="G416" s="80">
        <f t="shared" si="82"/>
        <v>283.5264371999999</v>
      </c>
      <c r="H416" s="19">
        <f aca="true" t="shared" si="97" ref="H416:H426">G416*1.18</f>
        <v>334.5611958959999</v>
      </c>
      <c r="I416" s="80">
        <f aca="true" t="shared" si="98" ref="I416:I426">G416*1.2*1.05*1.07*1.1*1.1</f>
        <v>462.52291458597836</v>
      </c>
      <c r="J416" s="19">
        <f aca="true" t="shared" si="99" ref="J416:J427">I416*1.18</f>
        <v>545.7770392114544</v>
      </c>
      <c r="K416" s="94">
        <f t="shared" si="83"/>
        <v>1.6313220000000004</v>
      </c>
      <c r="N416">
        <f t="shared" si="93"/>
        <v>231.26145729298918</v>
      </c>
    </row>
    <row r="417" spans="1:14" ht="12.75">
      <c r="A417" s="498" t="s">
        <v>62</v>
      </c>
      <c r="B417" s="499" t="s">
        <v>1513</v>
      </c>
      <c r="C417" s="74">
        <v>2.5</v>
      </c>
      <c r="D417" s="38">
        <v>248.63</v>
      </c>
      <c r="E417" s="57">
        <f t="shared" si="92"/>
        <v>267.9834</v>
      </c>
      <c r="F417" s="32">
        <f t="shared" si="91"/>
        <v>316.220412</v>
      </c>
      <c r="G417" s="80">
        <f t="shared" si="82"/>
        <v>354.40804649999995</v>
      </c>
      <c r="H417" s="19">
        <f t="shared" si="97"/>
        <v>418.2014948699999</v>
      </c>
      <c r="I417" s="80">
        <f t="shared" si="98"/>
        <v>578.1536432324731</v>
      </c>
      <c r="J417" s="19">
        <f t="shared" si="99"/>
        <v>682.2212990143182</v>
      </c>
      <c r="K417" s="94">
        <f t="shared" si="83"/>
        <v>1.6313220000000004</v>
      </c>
      <c r="N417">
        <f t="shared" si="93"/>
        <v>231.26145729298923</v>
      </c>
    </row>
    <row r="418" spans="1:14" ht="12.75">
      <c r="A418" s="498" t="s">
        <v>63</v>
      </c>
      <c r="B418" s="499" t="s">
        <v>1590</v>
      </c>
      <c r="C418" s="74">
        <v>0.8</v>
      </c>
      <c r="D418" s="38">
        <v>79.56</v>
      </c>
      <c r="E418" s="57">
        <f t="shared" si="92"/>
        <v>85.754688</v>
      </c>
      <c r="F418" s="32">
        <f t="shared" si="91"/>
        <v>101.19053183999999</v>
      </c>
      <c r="G418" s="80">
        <f t="shared" si="82"/>
        <v>113.41057487999998</v>
      </c>
      <c r="H418" s="19">
        <f t="shared" si="97"/>
        <v>133.82447835839997</v>
      </c>
      <c r="I418" s="80">
        <f t="shared" si="98"/>
        <v>185.00916583439135</v>
      </c>
      <c r="J418" s="19">
        <f t="shared" si="99"/>
        <v>218.3108156845818</v>
      </c>
      <c r="K418" s="94">
        <f t="shared" si="83"/>
        <v>1.6313220000000002</v>
      </c>
      <c r="N418">
        <f t="shared" si="93"/>
        <v>231.26145729298918</v>
      </c>
    </row>
    <row r="419" spans="1:14" s="111" customFormat="1" ht="12.75">
      <c r="A419" s="498" t="s">
        <v>64</v>
      </c>
      <c r="B419" s="499" t="s">
        <v>1514</v>
      </c>
      <c r="C419" s="74">
        <v>0.8</v>
      </c>
      <c r="D419" s="38">
        <v>79.56</v>
      </c>
      <c r="E419" s="57">
        <f t="shared" si="92"/>
        <v>85.754688</v>
      </c>
      <c r="F419" s="32">
        <f t="shared" si="91"/>
        <v>101.19053183999999</v>
      </c>
      <c r="G419" s="80">
        <f t="shared" si="82"/>
        <v>113.41057487999998</v>
      </c>
      <c r="H419" s="19">
        <f t="shared" si="97"/>
        <v>133.82447835839997</v>
      </c>
      <c r="I419" s="80">
        <f t="shared" si="98"/>
        <v>185.00916583439135</v>
      </c>
      <c r="J419" s="19">
        <f t="shared" si="99"/>
        <v>218.3108156845818</v>
      </c>
      <c r="K419" s="94">
        <f t="shared" si="83"/>
        <v>1.6313220000000002</v>
      </c>
      <c r="L419"/>
      <c r="M419"/>
      <c r="N419">
        <f t="shared" si="93"/>
        <v>231.26145729298918</v>
      </c>
    </row>
    <row r="420" spans="1:14" ht="12.75">
      <c r="A420" s="498" t="s">
        <v>65</v>
      </c>
      <c r="B420" s="499" t="s">
        <v>1515</v>
      </c>
      <c r="C420" s="74">
        <v>0.8</v>
      </c>
      <c r="D420" s="38">
        <v>79.56</v>
      </c>
      <c r="E420" s="57">
        <f t="shared" si="92"/>
        <v>85.754688</v>
      </c>
      <c r="F420" s="32">
        <f t="shared" si="91"/>
        <v>101.19053183999999</v>
      </c>
      <c r="G420" s="80">
        <f t="shared" si="82"/>
        <v>113.41057487999998</v>
      </c>
      <c r="H420" s="19">
        <f t="shared" si="97"/>
        <v>133.82447835839997</v>
      </c>
      <c r="I420" s="80">
        <f t="shared" si="98"/>
        <v>185.00916583439135</v>
      </c>
      <c r="J420" s="19">
        <f t="shared" si="99"/>
        <v>218.3108156845818</v>
      </c>
      <c r="K420" s="94">
        <f t="shared" si="83"/>
        <v>1.6313220000000002</v>
      </c>
      <c r="N420">
        <f t="shared" si="93"/>
        <v>231.26145729298918</v>
      </c>
    </row>
    <row r="421" spans="1:14" ht="12.75">
      <c r="A421" s="498" t="s">
        <v>66</v>
      </c>
      <c r="B421" s="499" t="s">
        <v>1453</v>
      </c>
      <c r="C421" s="74">
        <v>0.8</v>
      </c>
      <c r="D421" s="38">
        <v>79.56</v>
      </c>
      <c r="E421" s="57">
        <f t="shared" si="92"/>
        <v>85.754688</v>
      </c>
      <c r="F421" s="32">
        <f t="shared" si="91"/>
        <v>101.19053183999999</v>
      </c>
      <c r="G421" s="80">
        <f t="shared" si="82"/>
        <v>113.41057487999998</v>
      </c>
      <c r="H421" s="19">
        <f t="shared" si="97"/>
        <v>133.82447835839997</v>
      </c>
      <c r="I421" s="80">
        <f t="shared" si="98"/>
        <v>185.00916583439135</v>
      </c>
      <c r="J421" s="19">
        <f t="shared" si="99"/>
        <v>218.3108156845818</v>
      </c>
      <c r="K421" s="94">
        <f t="shared" si="83"/>
        <v>1.6313220000000002</v>
      </c>
      <c r="N421">
        <f t="shared" si="93"/>
        <v>231.26145729298918</v>
      </c>
    </row>
    <row r="422" spans="1:14" ht="25.5">
      <c r="A422" s="498" t="s">
        <v>67</v>
      </c>
      <c r="B422" s="499" t="s">
        <v>706</v>
      </c>
      <c r="C422" s="74">
        <v>3.5</v>
      </c>
      <c r="D422" s="38">
        <v>546.97</v>
      </c>
      <c r="E422" s="57">
        <f t="shared" si="92"/>
        <v>375.17676</v>
      </c>
      <c r="F422" s="32">
        <f t="shared" si="91"/>
        <v>442.7085768</v>
      </c>
      <c r="G422" s="80">
        <f t="shared" si="82"/>
        <v>496.1712650999999</v>
      </c>
      <c r="H422" s="19">
        <f t="shared" si="97"/>
        <v>585.4820928179998</v>
      </c>
      <c r="I422" s="80">
        <f t="shared" si="98"/>
        <v>809.4151005254622</v>
      </c>
      <c r="J422" s="19">
        <f t="shared" si="99"/>
        <v>955.1098186200453</v>
      </c>
      <c r="K422" s="94">
        <f t="shared" si="83"/>
        <v>1.6313220000000004</v>
      </c>
      <c r="N422">
        <f t="shared" si="93"/>
        <v>231.2614572929892</v>
      </c>
    </row>
    <row r="423" spans="1:14" ht="12.75">
      <c r="A423" s="498" t="s">
        <v>68</v>
      </c>
      <c r="B423" s="499" t="s">
        <v>431</v>
      </c>
      <c r="C423" s="74">
        <v>0.8</v>
      </c>
      <c r="D423" s="38"/>
      <c r="E423" s="57">
        <f t="shared" si="92"/>
        <v>85.754688</v>
      </c>
      <c r="F423" s="32">
        <f t="shared" si="91"/>
        <v>101.19053183999999</v>
      </c>
      <c r="G423" s="80">
        <f t="shared" si="82"/>
        <v>113.41057487999998</v>
      </c>
      <c r="H423" s="19">
        <f t="shared" si="97"/>
        <v>133.82447835839997</v>
      </c>
      <c r="I423" s="80">
        <f t="shared" si="98"/>
        <v>185.00916583439135</v>
      </c>
      <c r="J423" s="19">
        <f t="shared" si="99"/>
        <v>218.3108156845818</v>
      </c>
      <c r="K423" s="94">
        <f t="shared" si="83"/>
        <v>1.6313220000000002</v>
      </c>
      <c r="N423">
        <f t="shared" si="93"/>
        <v>231.26145729298918</v>
      </c>
    </row>
    <row r="424" spans="1:14" s="111" customFormat="1" ht="15" customHeight="1">
      <c r="A424" s="498" t="s">
        <v>69</v>
      </c>
      <c r="B424" s="499" t="s">
        <v>550</v>
      </c>
      <c r="C424" s="74">
        <v>2.5</v>
      </c>
      <c r="D424" s="38">
        <v>248.63</v>
      </c>
      <c r="E424" s="57">
        <f t="shared" si="92"/>
        <v>267.9834</v>
      </c>
      <c r="F424" s="32">
        <f t="shared" si="91"/>
        <v>316.220412</v>
      </c>
      <c r="G424" s="80">
        <f t="shared" si="82"/>
        <v>354.40804649999995</v>
      </c>
      <c r="H424" s="19">
        <f t="shared" si="97"/>
        <v>418.2014948699999</v>
      </c>
      <c r="I424" s="80">
        <f t="shared" si="98"/>
        <v>578.1536432324731</v>
      </c>
      <c r="J424" s="19">
        <f t="shared" si="99"/>
        <v>682.2212990143182</v>
      </c>
      <c r="K424" s="94">
        <f t="shared" si="83"/>
        <v>1.6313220000000004</v>
      </c>
      <c r="L424"/>
      <c r="M424"/>
      <c r="N424">
        <f t="shared" si="93"/>
        <v>231.26145729298923</v>
      </c>
    </row>
    <row r="425" spans="1:14" ht="25.5">
      <c r="A425" s="498" t="s">
        <v>70</v>
      </c>
      <c r="B425" s="499" t="s">
        <v>551</v>
      </c>
      <c r="C425" s="74">
        <v>2.5</v>
      </c>
      <c r="D425" s="38">
        <v>248.63</v>
      </c>
      <c r="E425" s="57">
        <f t="shared" si="92"/>
        <v>267.9834</v>
      </c>
      <c r="F425" s="32">
        <f t="shared" si="91"/>
        <v>316.220412</v>
      </c>
      <c r="G425" s="80">
        <f t="shared" si="82"/>
        <v>354.40804649999995</v>
      </c>
      <c r="H425" s="19">
        <f t="shared" si="97"/>
        <v>418.2014948699999</v>
      </c>
      <c r="I425" s="80">
        <f t="shared" si="98"/>
        <v>578.1536432324731</v>
      </c>
      <c r="J425" s="19">
        <f t="shared" si="99"/>
        <v>682.2212990143182</v>
      </c>
      <c r="K425" s="94">
        <f t="shared" si="83"/>
        <v>1.6313220000000004</v>
      </c>
      <c r="N425">
        <f t="shared" si="93"/>
        <v>231.26145729298923</v>
      </c>
    </row>
    <row r="426" spans="1:14" ht="25.5">
      <c r="A426" s="353" t="s">
        <v>71</v>
      </c>
      <c r="B426" s="499" t="s">
        <v>552</v>
      </c>
      <c r="C426" s="74">
        <v>1</v>
      </c>
      <c r="D426" s="38">
        <v>99.45</v>
      </c>
      <c r="E426" s="57">
        <f t="shared" si="92"/>
        <v>107.19336</v>
      </c>
      <c r="F426" s="32">
        <f t="shared" si="91"/>
        <v>126.48816479999999</v>
      </c>
      <c r="G426" s="80">
        <f t="shared" si="82"/>
        <v>141.76321859999996</v>
      </c>
      <c r="H426" s="19">
        <f t="shared" si="97"/>
        <v>167.28059794799995</v>
      </c>
      <c r="I426" s="80">
        <f t="shared" si="98"/>
        <v>231.26145729298918</v>
      </c>
      <c r="J426" s="19">
        <f t="shared" si="99"/>
        <v>272.8885196057272</v>
      </c>
      <c r="K426" s="94">
        <f t="shared" si="83"/>
        <v>1.6313220000000004</v>
      </c>
      <c r="N426">
        <f t="shared" si="93"/>
        <v>231.26145729298918</v>
      </c>
    </row>
    <row r="427" spans="1:14" ht="38.25">
      <c r="A427" s="481" t="s">
        <v>3156</v>
      </c>
      <c r="B427" s="482" t="s">
        <v>3037</v>
      </c>
      <c r="C427" s="207">
        <v>3.5</v>
      </c>
      <c r="D427" s="19">
        <v>669.95</v>
      </c>
      <c r="E427" s="19">
        <v>789.36</v>
      </c>
      <c r="F427" s="32"/>
      <c r="G427" s="19"/>
      <c r="H427" s="19"/>
      <c r="I427" s="19">
        <f>668.94*1.1*1.1</f>
        <v>809.4174000000003</v>
      </c>
      <c r="J427" s="19">
        <f t="shared" si="99"/>
        <v>955.1125320000002</v>
      </c>
      <c r="K427" s="490"/>
      <c r="L427" s="37"/>
      <c r="M427" s="37"/>
      <c r="N427">
        <f t="shared" si="93"/>
        <v>231.26211428571438</v>
      </c>
    </row>
    <row r="428" spans="1:14" ht="12.75">
      <c r="A428" s="483" t="s">
        <v>2349</v>
      </c>
      <c r="B428" s="945" t="s">
        <v>553</v>
      </c>
      <c r="C428" s="945"/>
      <c r="D428" s="945"/>
      <c r="E428" s="945"/>
      <c r="F428" s="945"/>
      <c r="G428" s="945"/>
      <c r="H428" s="945"/>
      <c r="I428" s="945"/>
      <c r="J428" s="945"/>
      <c r="K428" s="111"/>
      <c r="L428" s="111"/>
      <c r="M428" s="111"/>
      <c r="N428" t="e">
        <f t="shared" si="93"/>
        <v>#DIV/0!</v>
      </c>
    </row>
    <row r="429" spans="1:14" s="111" customFormat="1" ht="12.75">
      <c r="A429" s="498" t="s">
        <v>72</v>
      </c>
      <c r="B429" s="499" t="s">
        <v>554</v>
      </c>
      <c r="C429" s="74">
        <v>1</v>
      </c>
      <c r="D429" s="38">
        <v>99.45</v>
      </c>
      <c r="E429" s="57">
        <f t="shared" si="92"/>
        <v>107.19336</v>
      </c>
      <c r="F429" s="32">
        <f t="shared" si="91"/>
        <v>126.48816479999999</v>
      </c>
      <c r="G429" s="80">
        <f t="shared" si="82"/>
        <v>141.76321859999996</v>
      </c>
      <c r="H429" s="19">
        <f aca="true" t="shared" si="100" ref="H429:H442">G429*1.18</f>
        <v>167.28059794799995</v>
      </c>
      <c r="I429" s="80">
        <f aca="true" t="shared" si="101" ref="I429:I441">G429*1.2*1.05*1.07*1.1*1.1</f>
        <v>231.26145729298918</v>
      </c>
      <c r="J429" s="19">
        <f aca="true" t="shared" si="102" ref="J429:J449">I429*1.18</f>
        <v>272.8885196057272</v>
      </c>
      <c r="K429" s="94">
        <f t="shared" si="83"/>
        <v>1.6313220000000004</v>
      </c>
      <c r="L429"/>
      <c r="M429"/>
      <c r="N429">
        <f t="shared" si="93"/>
        <v>231.26145729298918</v>
      </c>
    </row>
    <row r="430" spans="1:14" ht="12.75">
      <c r="A430" s="498" t="s">
        <v>73</v>
      </c>
      <c r="B430" s="499" t="s">
        <v>1953</v>
      </c>
      <c r="C430" s="74">
        <v>1</v>
      </c>
      <c r="D430" s="38">
        <v>99.45</v>
      </c>
      <c r="E430" s="57">
        <f t="shared" si="92"/>
        <v>107.19336</v>
      </c>
      <c r="F430" s="32">
        <f t="shared" si="91"/>
        <v>126.48816479999999</v>
      </c>
      <c r="G430" s="80">
        <f t="shared" si="82"/>
        <v>141.76321859999996</v>
      </c>
      <c r="H430" s="19">
        <f t="shared" si="100"/>
        <v>167.28059794799995</v>
      </c>
      <c r="I430" s="80">
        <f t="shared" si="101"/>
        <v>231.26145729298918</v>
      </c>
      <c r="J430" s="19">
        <f t="shared" si="102"/>
        <v>272.8885196057272</v>
      </c>
      <c r="K430" s="94">
        <f t="shared" si="83"/>
        <v>1.6313220000000004</v>
      </c>
      <c r="N430">
        <f t="shared" si="93"/>
        <v>231.26145729298918</v>
      </c>
    </row>
    <row r="431" spans="1:14" ht="12.75">
      <c r="A431" s="498" t="s">
        <v>74</v>
      </c>
      <c r="B431" s="499" t="s">
        <v>555</v>
      </c>
      <c r="C431" s="74">
        <v>3.5</v>
      </c>
      <c r="D431" s="38">
        <v>348.07</v>
      </c>
      <c r="E431" s="57">
        <f t="shared" si="92"/>
        <v>375.17676</v>
      </c>
      <c r="F431" s="32">
        <f t="shared" si="91"/>
        <v>442.7085768</v>
      </c>
      <c r="G431" s="80">
        <f aca="true" t="shared" si="103" ref="G431:G489">E431*1.15*1.15</f>
        <v>496.1712650999999</v>
      </c>
      <c r="H431" s="19">
        <f t="shared" si="100"/>
        <v>585.4820928179998</v>
      </c>
      <c r="I431" s="80">
        <f t="shared" si="101"/>
        <v>809.4151005254622</v>
      </c>
      <c r="J431" s="19">
        <f t="shared" si="102"/>
        <v>955.1098186200453</v>
      </c>
      <c r="K431" s="94">
        <f aca="true" t="shared" si="104" ref="K431:K489">I431/G431</f>
        <v>1.6313220000000004</v>
      </c>
      <c r="N431">
        <f t="shared" si="93"/>
        <v>231.2614572929892</v>
      </c>
    </row>
    <row r="432" spans="1:14" ht="12.75">
      <c r="A432" s="498" t="s">
        <v>75</v>
      </c>
      <c r="B432" s="499" t="s">
        <v>556</v>
      </c>
      <c r="C432" s="74">
        <v>3.5</v>
      </c>
      <c r="D432" s="38">
        <v>348.07</v>
      </c>
      <c r="E432" s="57">
        <f t="shared" si="92"/>
        <v>375.17676</v>
      </c>
      <c r="F432" s="32">
        <f t="shared" si="91"/>
        <v>442.7085768</v>
      </c>
      <c r="G432" s="80">
        <f t="shared" si="103"/>
        <v>496.1712650999999</v>
      </c>
      <c r="H432" s="19">
        <f t="shared" si="100"/>
        <v>585.4820928179998</v>
      </c>
      <c r="I432" s="80">
        <f t="shared" si="101"/>
        <v>809.4151005254622</v>
      </c>
      <c r="J432" s="19">
        <f t="shared" si="102"/>
        <v>955.1098186200453</v>
      </c>
      <c r="K432" s="94">
        <f t="shared" si="104"/>
        <v>1.6313220000000004</v>
      </c>
      <c r="N432">
        <f t="shared" si="93"/>
        <v>231.2614572929892</v>
      </c>
    </row>
    <row r="433" spans="1:14" ht="12.75">
      <c r="A433" s="498" t="s">
        <v>76</v>
      </c>
      <c r="B433" s="499" t="s">
        <v>561</v>
      </c>
      <c r="C433" s="74">
        <v>1</v>
      </c>
      <c r="D433" s="38">
        <v>99.45</v>
      </c>
      <c r="E433" s="57">
        <f t="shared" si="92"/>
        <v>107.19336</v>
      </c>
      <c r="F433" s="32">
        <f t="shared" si="91"/>
        <v>126.48816479999999</v>
      </c>
      <c r="G433" s="80">
        <f t="shared" si="103"/>
        <v>141.76321859999996</v>
      </c>
      <c r="H433" s="19">
        <f t="shared" si="100"/>
        <v>167.28059794799995</v>
      </c>
      <c r="I433" s="80">
        <f t="shared" si="101"/>
        <v>231.26145729298918</v>
      </c>
      <c r="J433" s="19">
        <f t="shared" si="102"/>
        <v>272.8885196057272</v>
      </c>
      <c r="K433" s="94">
        <f t="shared" si="104"/>
        <v>1.6313220000000004</v>
      </c>
      <c r="N433">
        <f t="shared" si="93"/>
        <v>231.26145729298918</v>
      </c>
    </row>
    <row r="434" spans="1:14" ht="12.75">
      <c r="A434" s="498" t="s">
        <v>77</v>
      </c>
      <c r="B434" s="499" t="s">
        <v>406</v>
      </c>
      <c r="C434" s="74">
        <v>3.5</v>
      </c>
      <c r="D434" s="38">
        <v>348.07</v>
      </c>
      <c r="E434" s="57">
        <f t="shared" si="92"/>
        <v>375.17676</v>
      </c>
      <c r="F434" s="32">
        <f t="shared" si="91"/>
        <v>442.7085768</v>
      </c>
      <c r="G434" s="80">
        <f t="shared" si="103"/>
        <v>496.1712650999999</v>
      </c>
      <c r="H434" s="19">
        <f t="shared" si="100"/>
        <v>585.4820928179998</v>
      </c>
      <c r="I434" s="80">
        <f t="shared" si="101"/>
        <v>809.4151005254622</v>
      </c>
      <c r="J434" s="19">
        <f t="shared" si="102"/>
        <v>955.1098186200453</v>
      </c>
      <c r="K434" s="94">
        <f t="shared" si="104"/>
        <v>1.6313220000000004</v>
      </c>
      <c r="N434">
        <f t="shared" si="93"/>
        <v>231.2614572929892</v>
      </c>
    </row>
    <row r="435" spans="1:14" ht="12.75">
      <c r="A435" s="498" t="s">
        <v>78</v>
      </c>
      <c r="B435" s="499" t="s">
        <v>2534</v>
      </c>
      <c r="C435" s="74">
        <v>3</v>
      </c>
      <c r="D435" s="38">
        <v>298.35</v>
      </c>
      <c r="E435" s="57">
        <f t="shared" si="92"/>
        <v>321.58007999999995</v>
      </c>
      <c r="F435" s="32">
        <f t="shared" si="91"/>
        <v>379.4644943999999</v>
      </c>
      <c r="G435" s="80">
        <f t="shared" si="103"/>
        <v>425.2896557999998</v>
      </c>
      <c r="H435" s="19">
        <f t="shared" si="100"/>
        <v>501.84179384399977</v>
      </c>
      <c r="I435" s="80">
        <f t="shared" si="101"/>
        <v>693.7843718789675</v>
      </c>
      <c r="J435" s="19">
        <f t="shared" si="102"/>
        <v>818.6655588171816</v>
      </c>
      <c r="K435" s="94">
        <f t="shared" si="104"/>
        <v>1.6313220000000004</v>
      </c>
      <c r="N435">
        <f t="shared" si="93"/>
        <v>231.26145729298915</v>
      </c>
    </row>
    <row r="436" spans="1:14" ht="12.75">
      <c r="A436" s="498" t="s">
        <v>79</v>
      </c>
      <c r="B436" s="499" t="s">
        <v>2533</v>
      </c>
      <c r="C436" s="74">
        <v>3</v>
      </c>
      <c r="D436" s="38">
        <v>298.35</v>
      </c>
      <c r="E436" s="57">
        <f t="shared" si="92"/>
        <v>321.58007999999995</v>
      </c>
      <c r="F436" s="32">
        <f t="shared" si="91"/>
        <v>379.4644943999999</v>
      </c>
      <c r="G436" s="80">
        <f t="shared" si="103"/>
        <v>425.2896557999998</v>
      </c>
      <c r="H436" s="19">
        <f t="shared" si="100"/>
        <v>501.84179384399977</v>
      </c>
      <c r="I436" s="80">
        <f t="shared" si="101"/>
        <v>693.7843718789675</v>
      </c>
      <c r="J436" s="19">
        <f t="shared" si="102"/>
        <v>818.6655588171816</v>
      </c>
      <c r="K436" s="94">
        <f t="shared" si="104"/>
        <v>1.6313220000000004</v>
      </c>
      <c r="N436">
        <f t="shared" si="93"/>
        <v>231.26145729298915</v>
      </c>
    </row>
    <row r="437" spans="1:14" ht="12.75">
      <c r="A437" s="498" t="s">
        <v>80</v>
      </c>
      <c r="B437" s="499" t="s">
        <v>2060</v>
      </c>
      <c r="C437" s="74">
        <v>3</v>
      </c>
      <c r="D437" s="38">
        <v>298.35</v>
      </c>
      <c r="E437" s="57">
        <f t="shared" si="92"/>
        <v>321.58007999999995</v>
      </c>
      <c r="F437" s="32">
        <f t="shared" si="91"/>
        <v>379.4644943999999</v>
      </c>
      <c r="G437" s="80">
        <f t="shared" si="103"/>
        <v>425.2896557999998</v>
      </c>
      <c r="H437" s="19">
        <f t="shared" si="100"/>
        <v>501.84179384399977</v>
      </c>
      <c r="I437" s="80">
        <f t="shared" si="101"/>
        <v>693.7843718789675</v>
      </c>
      <c r="J437" s="19">
        <f t="shared" si="102"/>
        <v>818.6655588171816</v>
      </c>
      <c r="K437" s="94">
        <f t="shared" si="104"/>
        <v>1.6313220000000004</v>
      </c>
      <c r="N437">
        <f t="shared" si="93"/>
        <v>231.26145729298915</v>
      </c>
    </row>
    <row r="438" spans="1:14" ht="12.75">
      <c r="A438" s="498" t="s">
        <v>81</v>
      </c>
      <c r="B438" s="499" t="s">
        <v>869</v>
      </c>
      <c r="C438" s="74">
        <v>2.5</v>
      </c>
      <c r="D438" s="38">
        <v>248.63</v>
      </c>
      <c r="E438" s="57">
        <f t="shared" si="92"/>
        <v>267.9834</v>
      </c>
      <c r="F438" s="32">
        <f t="shared" si="91"/>
        <v>316.220412</v>
      </c>
      <c r="G438" s="80">
        <f t="shared" si="103"/>
        <v>354.40804649999995</v>
      </c>
      <c r="H438" s="19">
        <f t="shared" si="100"/>
        <v>418.2014948699999</v>
      </c>
      <c r="I438" s="80">
        <f t="shared" si="101"/>
        <v>578.1536432324731</v>
      </c>
      <c r="J438" s="19">
        <f t="shared" si="102"/>
        <v>682.2212990143182</v>
      </c>
      <c r="K438" s="94">
        <f t="shared" si="104"/>
        <v>1.6313220000000004</v>
      </c>
      <c r="N438">
        <f t="shared" si="93"/>
        <v>231.26145729298923</v>
      </c>
    </row>
    <row r="439" spans="1:14" ht="12.75">
      <c r="A439" s="498" t="s">
        <v>82</v>
      </c>
      <c r="B439" s="499" t="s">
        <v>747</v>
      </c>
      <c r="C439" s="74">
        <v>2</v>
      </c>
      <c r="D439" s="38">
        <v>198.9</v>
      </c>
      <c r="E439" s="57">
        <f t="shared" si="92"/>
        <v>214.38672</v>
      </c>
      <c r="F439" s="32">
        <f t="shared" si="91"/>
        <v>252.97632959999999</v>
      </c>
      <c r="G439" s="80">
        <f t="shared" si="103"/>
        <v>283.5264371999999</v>
      </c>
      <c r="H439" s="19">
        <f t="shared" si="100"/>
        <v>334.5611958959999</v>
      </c>
      <c r="I439" s="80">
        <f t="shared" si="101"/>
        <v>462.52291458597836</v>
      </c>
      <c r="J439" s="19">
        <f t="shared" si="102"/>
        <v>545.7770392114544</v>
      </c>
      <c r="K439" s="94">
        <f t="shared" si="104"/>
        <v>1.6313220000000004</v>
      </c>
      <c r="N439">
        <f t="shared" si="93"/>
        <v>231.26145729298918</v>
      </c>
    </row>
    <row r="440" spans="1:14" ht="25.5">
      <c r="A440" s="498" t="s">
        <v>83</v>
      </c>
      <c r="B440" s="499" t="s">
        <v>706</v>
      </c>
      <c r="C440" s="74">
        <v>3.5</v>
      </c>
      <c r="D440" s="38">
        <v>546.97</v>
      </c>
      <c r="E440" s="57">
        <f t="shared" si="92"/>
        <v>375.17676</v>
      </c>
      <c r="F440" s="32">
        <f t="shared" si="91"/>
        <v>442.7085768</v>
      </c>
      <c r="G440" s="80">
        <f t="shared" si="103"/>
        <v>496.1712650999999</v>
      </c>
      <c r="H440" s="19">
        <f t="shared" si="100"/>
        <v>585.4820928179998</v>
      </c>
      <c r="I440" s="80">
        <f t="shared" si="101"/>
        <v>809.4151005254622</v>
      </c>
      <c r="J440" s="19">
        <f t="shared" si="102"/>
        <v>955.1098186200453</v>
      </c>
      <c r="K440" s="94">
        <f t="shared" si="104"/>
        <v>1.6313220000000004</v>
      </c>
      <c r="N440">
        <f t="shared" si="93"/>
        <v>231.2614572929892</v>
      </c>
    </row>
    <row r="441" spans="1:14" s="111" customFormat="1" ht="15.75" customHeight="1">
      <c r="A441" s="483" t="s">
        <v>3157</v>
      </c>
      <c r="B441" s="482" t="s">
        <v>428</v>
      </c>
      <c r="C441" s="207">
        <v>5.7</v>
      </c>
      <c r="D441" s="484">
        <v>298.35</v>
      </c>
      <c r="E441" s="59">
        <f>C441*97.36*1.101</f>
        <v>611.002152</v>
      </c>
      <c r="F441" s="32">
        <f t="shared" si="91"/>
        <v>720.98253936</v>
      </c>
      <c r="G441" s="19">
        <f t="shared" si="103"/>
        <v>808.0503460199999</v>
      </c>
      <c r="H441" s="19">
        <f t="shared" si="100"/>
        <v>953.4994083035998</v>
      </c>
      <c r="I441" s="19">
        <f t="shared" si="101"/>
        <v>1318.1903065700385</v>
      </c>
      <c r="J441" s="19">
        <f t="shared" si="102"/>
        <v>1555.4645617526453</v>
      </c>
      <c r="K441" s="480"/>
      <c r="L441" s="3"/>
      <c r="M441" s="3"/>
      <c r="N441">
        <f t="shared" si="93"/>
        <v>231.2614572929892</v>
      </c>
    </row>
    <row r="442" spans="1:14" s="111" customFormat="1" ht="69.75" customHeight="1">
      <c r="A442" s="459" t="s">
        <v>3158</v>
      </c>
      <c r="B442" s="472" t="s">
        <v>3045</v>
      </c>
      <c r="C442" s="209">
        <v>5.3</v>
      </c>
      <c r="D442" s="116"/>
      <c r="E442" s="59">
        <f>C442*97.36*1.101</f>
        <v>568.1248079999999</v>
      </c>
      <c r="F442" s="32">
        <f>E442*1.18</f>
        <v>670.3872734399998</v>
      </c>
      <c r="G442" s="19">
        <v>1035.26</v>
      </c>
      <c r="H442" s="19">
        <f t="shared" si="100"/>
        <v>1221.6068</v>
      </c>
      <c r="I442" s="19">
        <f>844.14*1.1*1.1</f>
        <v>1021.4094000000002</v>
      </c>
      <c r="J442" s="19">
        <f t="shared" si="102"/>
        <v>1205.2630920000001</v>
      </c>
      <c r="K442" s="476"/>
      <c r="L442" s="477"/>
      <c r="M442" s="477"/>
      <c r="N442">
        <f t="shared" si="93"/>
        <v>192.71875471698118</v>
      </c>
    </row>
    <row r="443" spans="1:14" ht="25.5">
      <c r="A443" s="459"/>
      <c r="B443" s="472" t="s">
        <v>3159</v>
      </c>
      <c r="C443" s="209">
        <v>3.5</v>
      </c>
      <c r="D443" s="116"/>
      <c r="E443" s="59"/>
      <c r="F443" s="32"/>
      <c r="G443" s="19"/>
      <c r="H443" s="19"/>
      <c r="I443" s="19">
        <f>557.45*1.1*1.1</f>
        <v>674.5145000000001</v>
      </c>
      <c r="J443" s="19">
        <f t="shared" si="102"/>
        <v>795.9271100000001</v>
      </c>
      <c r="K443" s="476"/>
      <c r="L443" s="477"/>
      <c r="M443" s="477"/>
      <c r="N443">
        <f t="shared" si="93"/>
        <v>192.7184285714286</v>
      </c>
    </row>
    <row r="444" spans="1:14" ht="25.5">
      <c r="A444" s="459"/>
      <c r="B444" s="472" t="s">
        <v>3160</v>
      </c>
      <c r="C444" s="209">
        <v>3.8</v>
      </c>
      <c r="D444" s="116"/>
      <c r="E444" s="59"/>
      <c r="F444" s="32"/>
      <c r="G444" s="19"/>
      <c r="H444" s="19"/>
      <c r="I444" s="19">
        <f>605.23*1.1*1.1</f>
        <v>732.3283000000001</v>
      </c>
      <c r="J444" s="19">
        <f t="shared" si="102"/>
        <v>864.1473940000001</v>
      </c>
      <c r="K444" s="476"/>
      <c r="L444" s="477"/>
      <c r="M444" s="477"/>
      <c r="N444">
        <f t="shared" si="93"/>
        <v>192.71797368421056</v>
      </c>
    </row>
    <row r="445" spans="1:14" ht="25.5">
      <c r="A445" s="459"/>
      <c r="B445" s="472" t="s">
        <v>3161</v>
      </c>
      <c r="C445" s="209">
        <v>4.1</v>
      </c>
      <c r="D445" s="116"/>
      <c r="E445" s="59"/>
      <c r="F445" s="32"/>
      <c r="G445" s="19"/>
      <c r="H445" s="19"/>
      <c r="I445" s="19">
        <f>653.01*1.1*1.1</f>
        <v>790.1421000000001</v>
      </c>
      <c r="J445" s="19">
        <f t="shared" si="102"/>
        <v>932.3676780000001</v>
      </c>
      <c r="K445" s="476"/>
      <c r="L445" s="477"/>
      <c r="M445" s="477"/>
      <c r="N445">
        <f t="shared" si="93"/>
        <v>192.71758536585372</v>
      </c>
    </row>
    <row r="446" spans="1:14" s="111" customFormat="1" ht="27.75" customHeight="1">
      <c r="A446" s="459"/>
      <c r="B446" s="472" t="s">
        <v>3162</v>
      </c>
      <c r="C446" s="209">
        <v>4.4</v>
      </c>
      <c r="D446" s="116"/>
      <c r="E446" s="59"/>
      <c r="F446" s="32"/>
      <c r="G446" s="19"/>
      <c r="H446" s="19"/>
      <c r="I446" s="19">
        <f>700.79*1.1*1.1</f>
        <v>847.9559000000002</v>
      </c>
      <c r="J446" s="19">
        <f t="shared" si="102"/>
        <v>1000.5879620000002</v>
      </c>
      <c r="K446" s="476"/>
      <c r="L446" s="477"/>
      <c r="M446" s="477"/>
      <c r="N446">
        <f t="shared" si="93"/>
        <v>192.71725</v>
      </c>
    </row>
    <row r="447" spans="1:14" ht="25.5">
      <c r="A447" s="459"/>
      <c r="B447" s="472" t="s">
        <v>3163</v>
      </c>
      <c r="C447" s="209">
        <v>4.7</v>
      </c>
      <c r="D447" s="116"/>
      <c r="E447" s="59"/>
      <c r="F447" s="32"/>
      <c r="G447" s="19"/>
      <c r="H447" s="19"/>
      <c r="I447" s="19">
        <f>748.57*1.1*1.1</f>
        <v>905.7697000000002</v>
      </c>
      <c r="J447" s="19">
        <f t="shared" si="102"/>
        <v>1068.808246</v>
      </c>
      <c r="K447" s="476"/>
      <c r="L447" s="477"/>
      <c r="M447" s="477"/>
      <c r="N447">
        <f t="shared" si="93"/>
        <v>192.71695744680855</v>
      </c>
    </row>
    <row r="448" spans="1:14" ht="25.5">
      <c r="A448" s="459"/>
      <c r="B448" s="472" t="s">
        <v>3164</v>
      </c>
      <c r="C448" s="209">
        <v>5</v>
      </c>
      <c r="D448" s="116"/>
      <c r="E448" s="59"/>
      <c r="F448" s="32"/>
      <c r="G448" s="19"/>
      <c r="H448" s="19"/>
      <c r="I448" s="19">
        <f>796.35*1.1*1.1</f>
        <v>963.5835000000002</v>
      </c>
      <c r="J448" s="19">
        <f t="shared" si="102"/>
        <v>1137.02853</v>
      </c>
      <c r="K448" s="476"/>
      <c r="L448" s="477"/>
      <c r="M448" s="477"/>
      <c r="N448">
        <f t="shared" si="93"/>
        <v>192.71670000000003</v>
      </c>
    </row>
    <row r="449" spans="1:14" ht="38.25">
      <c r="A449" s="481" t="s">
        <v>3165</v>
      </c>
      <c r="B449" s="482" t="s">
        <v>3037</v>
      </c>
      <c r="C449" s="207">
        <v>3.5</v>
      </c>
      <c r="D449" s="19">
        <v>669.95</v>
      </c>
      <c r="E449" s="19">
        <v>789.36</v>
      </c>
      <c r="F449" s="32"/>
      <c r="G449" s="19"/>
      <c r="H449" s="19"/>
      <c r="I449" s="19">
        <f>668.94*1.1*1.1</f>
        <v>809.4174000000003</v>
      </c>
      <c r="J449" s="19">
        <f t="shared" si="102"/>
        <v>955.1125320000002</v>
      </c>
      <c r="K449" s="94"/>
      <c r="N449">
        <f t="shared" si="93"/>
        <v>231.26211428571438</v>
      </c>
    </row>
    <row r="450" spans="1:14" ht="12.75">
      <c r="A450" s="481" t="s">
        <v>3166</v>
      </c>
      <c r="B450" s="482" t="s">
        <v>1090</v>
      </c>
      <c r="C450" s="209">
        <v>1.2</v>
      </c>
      <c r="D450" s="474" t="s">
        <v>1685</v>
      </c>
      <c r="E450" s="59">
        <f>C450*97.36*1.101</f>
        <v>128.63203199999998</v>
      </c>
      <c r="F450" s="32">
        <f>E450*1.18</f>
        <v>151.78579775999998</v>
      </c>
      <c r="G450" s="19">
        <f>E450*1.15*1.15</f>
        <v>170.11586231999993</v>
      </c>
      <c r="H450" s="19">
        <f>G450*1.18</f>
        <v>200.7367175375999</v>
      </c>
      <c r="I450" s="19">
        <f>G450*1.2*1.05*1.07*1.1*1.1</f>
        <v>277.513748751587</v>
      </c>
      <c r="J450" s="19">
        <f>I450*1.18</f>
        <v>327.4662235268726</v>
      </c>
      <c r="K450" s="480"/>
      <c r="L450" s="3"/>
      <c r="M450" s="3"/>
      <c r="N450">
        <f t="shared" si="93"/>
        <v>231.26145729298918</v>
      </c>
    </row>
    <row r="451" spans="1:14" ht="12.75">
      <c r="A451" s="481" t="s">
        <v>3167</v>
      </c>
      <c r="B451" s="482" t="s">
        <v>3168</v>
      </c>
      <c r="C451" s="209">
        <v>1.2</v>
      </c>
      <c r="D451" s="474" t="s">
        <v>1685</v>
      </c>
      <c r="E451" s="59">
        <f>C451*97.36*1.101</f>
        <v>128.63203199999998</v>
      </c>
      <c r="F451" s="32">
        <f>E451*1.18</f>
        <v>151.78579775999998</v>
      </c>
      <c r="G451" s="19">
        <f>E451*1.15*1.15</f>
        <v>170.11586231999993</v>
      </c>
      <c r="H451" s="19">
        <f>G451*1.18</f>
        <v>200.7367175375999</v>
      </c>
      <c r="I451" s="19">
        <f>G451*1.2*1.05*1.07*1.1*1.1</f>
        <v>277.513748751587</v>
      </c>
      <c r="J451" s="19">
        <f>I451*1.18</f>
        <v>327.4662235268726</v>
      </c>
      <c r="K451" s="480"/>
      <c r="L451" s="3"/>
      <c r="M451" s="3"/>
      <c r="N451">
        <f t="shared" si="93"/>
        <v>231.26145729298918</v>
      </c>
    </row>
    <row r="452" spans="1:14" ht="12.75">
      <c r="A452" s="481" t="s">
        <v>3169</v>
      </c>
      <c r="B452" s="482" t="s">
        <v>2525</v>
      </c>
      <c r="C452" s="209">
        <v>1.7</v>
      </c>
      <c r="D452" s="474" t="s">
        <v>2393</v>
      </c>
      <c r="E452" s="59">
        <f>C452*97.36*1.101</f>
        <v>182.228712</v>
      </c>
      <c r="F452" s="32">
        <f>E452*1.18</f>
        <v>215.02988016</v>
      </c>
      <c r="G452" s="19">
        <f>E452*1.15*1.15</f>
        <v>240.99747161999997</v>
      </c>
      <c r="H452" s="19">
        <f>G452*1.18</f>
        <v>284.37701651159995</v>
      </c>
      <c r="I452" s="19">
        <f>G452*1.2*1.05*1.07*1.1*1.1</f>
        <v>393.14447739808156</v>
      </c>
      <c r="J452" s="19">
        <f>I452*1.18</f>
        <v>463.9104833297362</v>
      </c>
      <c r="K452" s="478">
        <f>I452/G452</f>
        <v>1.631322</v>
      </c>
      <c r="L452" s="479"/>
      <c r="M452" s="479"/>
      <c r="N452">
        <f t="shared" si="93"/>
        <v>231.26145729298915</v>
      </c>
    </row>
    <row r="453" spans="1:14" ht="12.75">
      <c r="A453" s="481" t="s">
        <v>3170</v>
      </c>
      <c r="B453" s="482" t="s">
        <v>3171</v>
      </c>
      <c r="C453" s="209">
        <v>1.7</v>
      </c>
      <c r="D453" s="474" t="s">
        <v>2393</v>
      </c>
      <c r="E453" s="59">
        <f>C453*97.36*1.101</f>
        <v>182.228712</v>
      </c>
      <c r="F453" s="32">
        <f>E453*1.18</f>
        <v>215.02988016</v>
      </c>
      <c r="G453" s="19">
        <f>E453*1.15*1.15</f>
        <v>240.99747161999997</v>
      </c>
      <c r="H453" s="19">
        <f>G453*1.18</f>
        <v>284.37701651159995</v>
      </c>
      <c r="I453" s="19">
        <f>G453*1.2*1.05*1.07*1.1*1.1</f>
        <v>393.14447739808156</v>
      </c>
      <c r="J453" s="19">
        <f>I453*1.18</f>
        <v>463.9104833297362</v>
      </c>
      <c r="K453" s="478">
        <f>I453/G453</f>
        <v>1.631322</v>
      </c>
      <c r="L453" s="479"/>
      <c r="M453" s="479"/>
      <c r="N453">
        <f t="shared" si="93"/>
        <v>231.26145729298915</v>
      </c>
    </row>
    <row r="454" spans="1:14" ht="51">
      <c r="A454" s="459" t="s">
        <v>3172</v>
      </c>
      <c r="B454" s="472" t="s">
        <v>3038</v>
      </c>
      <c r="C454" s="209">
        <v>5.3</v>
      </c>
      <c r="D454" s="116"/>
      <c r="E454" s="59">
        <f>C454*97.36*1.101</f>
        <v>568.1248079999999</v>
      </c>
      <c r="F454" s="32">
        <f>E454*1.18</f>
        <v>670.3872734399998</v>
      </c>
      <c r="G454" s="19">
        <v>1035.26</v>
      </c>
      <c r="H454" s="19">
        <f>G454*1.18</f>
        <v>1221.6068</v>
      </c>
      <c r="I454" s="19">
        <f>844.14*1.1*1.1</f>
        <v>1021.4094000000002</v>
      </c>
      <c r="J454" s="19">
        <f>I454*1.18</f>
        <v>1205.2630920000001</v>
      </c>
      <c r="K454" s="489"/>
      <c r="L454" s="369"/>
      <c r="M454" s="80"/>
      <c r="N454">
        <f t="shared" si="93"/>
        <v>192.71875471698118</v>
      </c>
    </row>
    <row r="455" spans="1:14" ht="25.5">
      <c r="A455" s="459"/>
      <c r="B455" s="472" t="s">
        <v>3173</v>
      </c>
      <c r="C455" s="209">
        <v>3.5</v>
      </c>
      <c r="D455" s="116"/>
      <c r="E455" s="59"/>
      <c r="F455" s="32"/>
      <c r="G455" s="19"/>
      <c r="H455" s="19"/>
      <c r="I455" s="19">
        <f>557.45*1.1*1.1</f>
        <v>674.5145000000001</v>
      </c>
      <c r="J455" s="19">
        <f aca="true" t="shared" si="105" ref="J455:J460">I455*1.18</f>
        <v>795.9271100000001</v>
      </c>
      <c r="K455" s="489">
        <f aca="true" t="shared" si="106" ref="K455:K460">I455*97.36*1.101</f>
        <v>72303.47562372</v>
      </c>
      <c r="L455" s="369">
        <f aca="true" t="shared" si="107" ref="L455:L460">K455*1.18</f>
        <v>85318.1012359896</v>
      </c>
      <c r="M455" s="80">
        <v>557.45</v>
      </c>
      <c r="N455">
        <f t="shared" si="93"/>
        <v>192.7184285714286</v>
      </c>
    </row>
    <row r="456" spans="1:14" ht="25.5">
      <c r="A456" s="459"/>
      <c r="B456" s="472" t="s">
        <v>3174</v>
      </c>
      <c r="C456" s="209">
        <v>3.8</v>
      </c>
      <c r="D456" s="116"/>
      <c r="E456" s="59"/>
      <c r="F456" s="32"/>
      <c r="G456" s="19"/>
      <c r="H456" s="19"/>
      <c r="I456" s="19">
        <f>605.23*1.1*1.1</f>
        <v>732.3283000000001</v>
      </c>
      <c r="J456" s="19">
        <f t="shared" si="105"/>
        <v>864.1473940000001</v>
      </c>
      <c r="K456" s="489">
        <f t="shared" si="106"/>
        <v>78500.73110008801</v>
      </c>
      <c r="L456" s="369">
        <f t="shared" si="107"/>
        <v>92630.86269810385</v>
      </c>
      <c r="M456" s="80">
        <v>605.23</v>
      </c>
      <c r="N456">
        <f t="shared" si="93"/>
        <v>192.71797368421056</v>
      </c>
    </row>
    <row r="457" spans="1:14" ht="25.5">
      <c r="A457" s="459"/>
      <c r="B457" s="472" t="s">
        <v>3175</v>
      </c>
      <c r="C457" s="209">
        <v>4.1</v>
      </c>
      <c r="D457" s="116"/>
      <c r="E457" s="59"/>
      <c r="F457" s="32"/>
      <c r="G457" s="19"/>
      <c r="H457" s="19"/>
      <c r="I457" s="19">
        <f>653.01*1.1*1.1</f>
        <v>790.1421000000001</v>
      </c>
      <c r="J457" s="19">
        <f t="shared" si="105"/>
        <v>932.3676780000001</v>
      </c>
      <c r="K457" s="489">
        <f t="shared" si="106"/>
        <v>84697.98657645601</v>
      </c>
      <c r="L457" s="369">
        <f t="shared" si="107"/>
        <v>99943.62416021808</v>
      </c>
      <c r="M457" s="80">
        <v>653.01</v>
      </c>
      <c r="N457">
        <f t="shared" si="93"/>
        <v>192.71758536585372</v>
      </c>
    </row>
    <row r="458" spans="1:14" s="111" customFormat="1" ht="25.5">
      <c r="A458" s="459"/>
      <c r="B458" s="472" t="s">
        <v>3176</v>
      </c>
      <c r="C458" s="209">
        <v>4.4</v>
      </c>
      <c r="D458" s="116"/>
      <c r="E458" s="59"/>
      <c r="F458" s="32"/>
      <c r="G458" s="19"/>
      <c r="H458" s="19"/>
      <c r="I458" s="19">
        <f>700.79*1.1*1.1</f>
        <v>847.9559000000002</v>
      </c>
      <c r="J458" s="19">
        <f t="shared" si="105"/>
        <v>1000.5879620000002</v>
      </c>
      <c r="K458" s="489">
        <f t="shared" si="106"/>
        <v>90895.24205282402</v>
      </c>
      <c r="L458" s="369">
        <f t="shared" si="107"/>
        <v>107256.38562233234</v>
      </c>
      <c r="M458" s="80">
        <v>700.79</v>
      </c>
      <c r="N458">
        <f t="shared" si="93"/>
        <v>192.71725</v>
      </c>
    </row>
    <row r="459" spans="1:14" ht="25.5">
      <c r="A459" s="459"/>
      <c r="B459" s="472" t="s">
        <v>3177</v>
      </c>
      <c r="C459" s="209">
        <v>4.7</v>
      </c>
      <c r="D459" s="116"/>
      <c r="E459" s="59"/>
      <c r="F459" s="32"/>
      <c r="G459" s="19"/>
      <c r="H459" s="19"/>
      <c r="I459" s="19">
        <f>748.57*1.1*1.1</f>
        <v>905.7697000000002</v>
      </c>
      <c r="J459" s="19">
        <f t="shared" si="105"/>
        <v>1068.808246</v>
      </c>
      <c r="K459" s="489">
        <f t="shared" si="106"/>
        <v>97092.49752919201</v>
      </c>
      <c r="L459" s="369">
        <f t="shared" si="107"/>
        <v>114569.14708444657</v>
      </c>
      <c r="M459" s="80">
        <v>748.57</v>
      </c>
      <c r="N459">
        <f t="shared" si="93"/>
        <v>192.71695744680855</v>
      </c>
    </row>
    <row r="460" spans="1:14" ht="25.5">
      <c r="A460" s="459"/>
      <c r="B460" s="472" t="s">
        <v>3178</v>
      </c>
      <c r="C460" s="209">
        <v>5</v>
      </c>
      <c r="D460" s="116"/>
      <c r="E460" s="59"/>
      <c r="F460" s="32"/>
      <c r="G460" s="19"/>
      <c r="H460" s="19"/>
      <c r="I460" s="19">
        <f>796.35*1.1*1.1</f>
        <v>963.5835000000002</v>
      </c>
      <c r="J460" s="19">
        <f t="shared" si="105"/>
        <v>1137.02853</v>
      </c>
      <c r="K460" s="489">
        <f t="shared" si="106"/>
        <v>103289.75300556002</v>
      </c>
      <c r="L460" s="369">
        <f t="shared" si="107"/>
        <v>121881.90854656082</v>
      </c>
      <c r="M460" s="80">
        <v>796.35</v>
      </c>
      <c r="N460">
        <f t="shared" si="93"/>
        <v>192.71670000000003</v>
      </c>
    </row>
    <row r="461" spans="1:14" ht="12.75">
      <c r="A461" s="483" t="s">
        <v>2350</v>
      </c>
      <c r="B461" s="945" t="s">
        <v>558</v>
      </c>
      <c r="C461" s="945"/>
      <c r="D461" s="945"/>
      <c r="E461" s="945"/>
      <c r="F461" s="945"/>
      <c r="G461" s="945"/>
      <c r="H461" s="945"/>
      <c r="I461" s="945"/>
      <c r="J461" s="945"/>
      <c r="K461" s="111"/>
      <c r="L461" s="111"/>
      <c r="M461" s="111"/>
      <c r="N461" t="e">
        <f t="shared" si="93"/>
        <v>#DIV/0!</v>
      </c>
    </row>
    <row r="462" spans="1:14" ht="12.75">
      <c r="A462" s="498" t="s">
        <v>84</v>
      </c>
      <c r="B462" s="499" t="s">
        <v>559</v>
      </c>
      <c r="C462" s="74">
        <v>1</v>
      </c>
      <c r="D462" s="38">
        <v>99.45</v>
      </c>
      <c r="E462" s="57">
        <f t="shared" si="92"/>
        <v>107.19336</v>
      </c>
      <c r="F462" s="32">
        <f t="shared" si="91"/>
        <v>126.48816479999999</v>
      </c>
      <c r="G462" s="80">
        <f t="shared" si="103"/>
        <v>141.76321859999996</v>
      </c>
      <c r="H462" s="19">
        <f aca="true" t="shared" si="108" ref="H462:H474">G462*1.18</f>
        <v>167.28059794799995</v>
      </c>
      <c r="I462" s="80">
        <f aca="true" t="shared" si="109" ref="I462:I474">G462*1.2*1.05*1.07*1.1*1.1</f>
        <v>231.26145729298918</v>
      </c>
      <c r="J462" s="19">
        <f aca="true" t="shared" si="110" ref="J462:J475">I462*1.18</f>
        <v>272.8885196057272</v>
      </c>
      <c r="K462" s="94">
        <f t="shared" si="104"/>
        <v>1.6313220000000004</v>
      </c>
      <c r="N462">
        <f t="shared" si="93"/>
        <v>231.26145729298918</v>
      </c>
    </row>
    <row r="463" spans="1:14" s="111" customFormat="1" ht="12.75">
      <c r="A463" s="498" t="s">
        <v>85</v>
      </c>
      <c r="B463" s="499" t="s">
        <v>435</v>
      </c>
      <c r="C463" s="74">
        <v>2</v>
      </c>
      <c r="D463" s="38">
        <v>248.63</v>
      </c>
      <c r="E463" s="57">
        <f t="shared" si="92"/>
        <v>214.38672</v>
      </c>
      <c r="F463" s="32">
        <f t="shared" si="91"/>
        <v>252.97632959999999</v>
      </c>
      <c r="G463" s="80">
        <f t="shared" si="103"/>
        <v>283.5264371999999</v>
      </c>
      <c r="H463" s="19">
        <f t="shared" si="108"/>
        <v>334.5611958959999</v>
      </c>
      <c r="I463" s="80">
        <f t="shared" si="109"/>
        <v>462.52291458597836</v>
      </c>
      <c r="J463" s="19">
        <f t="shared" si="110"/>
        <v>545.7770392114544</v>
      </c>
      <c r="K463" s="94">
        <f t="shared" si="104"/>
        <v>1.6313220000000004</v>
      </c>
      <c r="L463"/>
      <c r="M463"/>
      <c r="N463">
        <f t="shared" si="93"/>
        <v>231.26145729298918</v>
      </c>
    </row>
    <row r="464" spans="1:14" ht="12.75">
      <c r="A464" s="498" t="s">
        <v>86</v>
      </c>
      <c r="B464" s="499" t="s">
        <v>436</v>
      </c>
      <c r="C464" s="74">
        <v>2.5</v>
      </c>
      <c r="D464" s="38">
        <v>248.63</v>
      </c>
      <c r="E464" s="57">
        <f t="shared" si="92"/>
        <v>267.9834</v>
      </c>
      <c r="F464" s="32">
        <f t="shared" si="91"/>
        <v>316.220412</v>
      </c>
      <c r="G464" s="80">
        <f t="shared" si="103"/>
        <v>354.40804649999995</v>
      </c>
      <c r="H464" s="19">
        <f t="shared" si="108"/>
        <v>418.2014948699999</v>
      </c>
      <c r="I464" s="80">
        <f t="shared" si="109"/>
        <v>578.1536432324731</v>
      </c>
      <c r="J464" s="19">
        <f t="shared" si="110"/>
        <v>682.2212990143182</v>
      </c>
      <c r="K464" s="94">
        <f t="shared" si="104"/>
        <v>1.6313220000000004</v>
      </c>
      <c r="N464">
        <f t="shared" si="93"/>
        <v>231.26145729298923</v>
      </c>
    </row>
    <row r="465" spans="1:14" ht="12.75">
      <c r="A465" s="498" t="s">
        <v>87</v>
      </c>
      <c r="B465" s="499" t="s">
        <v>437</v>
      </c>
      <c r="C465" s="74">
        <v>2.5</v>
      </c>
      <c r="D465" s="38">
        <v>248.63</v>
      </c>
      <c r="E465" s="57">
        <f t="shared" si="92"/>
        <v>267.9834</v>
      </c>
      <c r="F465" s="32">
        <f t="shared" si="91"/>
        <v>316.220412</v>
      </c>
      <c r="G465" s="80">
        <f t="shared" si="103"/>
        <v>354.40804649999995</v>
      </c>
      <c r="H465" s="19">
        <f t="shared" si="108"/>
        <v>418.2014948699999</v>
      </c>
      <c r="I465" s="80">
        <f t="shared" si="109"/>
        <v>578.1536432324731</v>
      </c>
      <c r="J465" s="19">
        <f t="shared" si="110"/>
        <v>682.2212990143182</v>
      </c>
      <c r="K465" s="94">
        <f t="shared" si="104"/>
        <v>1.6313220000000004</v>
      </c>
      <c r="N465">
        <f aca="true" t="shared" si="111" ref="N465:N528">I465/C465</f>
        <v>231.26145729298923</v>
      </c>
    </row>
    <row r="466" spans="1:14" ht="12.75">
      <c r="A466" s="498" t="s">
        <v>88</v>
      </c>
      <c r="B466" s="499" t="s">
        <v>2215</v>
      </c>
      <c r="C466" s="74">
        <v>2.5</v>
      </c>
      <c r="D466" s="38">
        <v>248.63</v>
      </c>
      <c r="E466" s="57">
        <f t="shared" si="92"/>
        <v>267.9834</v>
      </c>
      <c r="F466" s="32">
        <f t="shared" si="91"/>
        <v>316.220412</v>
      </c>
      <c r="G466" s="80">
        <f t="shared" si="103"/>
        <v>354.40804649999995</v>
      </c>
      <c r="H466" s="19">
        <f t="shared" si="108"/>
        <v>418.2014948699999</v>
      </c>
      <c r="I466" s="80">
        <f t="shared" si="109"/>
        <v>578.1536432324731</v>
      </c>
      <c r="J466" s="19">
        <f t="shared" si="110"/>
        <v>682.2212990143182</v>
      </c>
      <c r="K466" s="94">
        <f t="shared" si="104"/>
        <v>1.6313220000000004</v>
      </c>
      <c r="N466">
        <f t="shared" si="111"/>
        <v>231.26145729298923</v>
      </c>
    </row>
    <row r="467" spans="1:14" ht="12.75">
      <c r="A467" s="498" t="s">
        <v>89</v>
      </c>
      <c r="B467" s="499" t="s">
        <v>2216</v>
      </c>
      <c r="C467" s="74">
        <v>1.5</v>
      </c>
      <c r="D467" s="38">
        <v>149.17</v>
      </c>
      <c r="E467" s="57">
        <f t="shared" si="92"/>
        <v>160.79003999999998</v>
      </c>
      <c r="F467" s="32">
        <f t="shared" si="91"/>
        <v>189.73224719999996</v>
      </c>
      <c r="G467" s="80">
        <f t="shared" si="103"/>
        <v>212.6448278999999</v>
      </c>
      <c r="H467" s="19">
        <f t="shared" si="108"/>
        <v>250.92089692199988</v>
      </c>
      <c r="I467" s="80">
        <f t="shared" si="109"/>
        <v>346.89218593948374</v>
      </c>
      <c r="J467" s="19">
        <f t="shared" si="110"/>
        <v>409.3327794085908</v>
      </c>
      <c r="K467" s="94">
        <f t="shared" si="104"/>
        <v>1.6313220000000004</v>
      </c>
      <c r="N467">
        <f t="shared" si="111"/>
        <v>231.26145729298915</v>
      </c>
    </row>
    <row r="468" spans="1:14" ht="12.75">
      <c r="A468" s="498" t="s">
        <v>90</v>
      </c>
      <c r="B468" s="499" t="s">
        <v>2217</v>
      </c>
      <c r="C468" s="74">
        <v>1</v>
      </c>
      <c r="D468" s="38">
        <v>99.45</v>
      </c>
      <c r="E468" s="57">
        <f t="shared" si="92"/>
        <v>107.19336</v>
      </c>
      <c r="F468" s="32">
        <f t="shared" si="91"/>
        <v>126.48816479999999</v>
      </c>
      <c r="G468" s="80">
        <f t="shared" si="103"/>
        <v>141.76321859999996</v>
      </c>
      <c r="H468" s="19">
        <f t="shared" si="108"/>
        <v>167.28059794799995</v>
      </c>
      <c r="I468" s="80">
        <f t="shared" si="109"/>
        <v>231.26145729298918</v>
      </c>
      <c r="J468" s="19">
        <f t="shared" si="110"/>
        <v>272.8885196057272</v>
      </c>
      <c r="K468" s="94">
        <f t="shared" si="104"/>
        <v>1.6313220000000004</v>
      </c>
      <c r="N468">
        <f t="shared" si="111"/>
        <v>231.26145729298918</v>
      </c>
    </row>
    <row r="469" spans="1:14" ht="15.75" customHeight="1">
      <c r="A469" s="498" t="s">
        <v>91</v>
      </c>
      <c r="B469" s="499" t="s">
        <v>2218</v>
      </c>
      <c r="C469" s="74">
        <v>1.5</v>
      </c>
      <c r="D469" s="38">
        <v>149.17</v>
      </c>
      <c r="E469" s="57">
        <f t="shared" si="92"/>
        <v>160.79003999999998</v>
      </c>
      <c r="F469" s="32">
        <f t="shared" si="91"/>
        <v>189.73224719999996</v>
      </c>
      <c r="G469" s="80">
        <f t="shared" si="103"/>
        <v>212.6448278999999</v>
      </c>
      <c r="H469" s="19">
        <f t="shared" si="108"/>
        <v>250.92089692199988</v>
      </c>
      <c r="I469" s="80">
        <f t="shared" si="109"/>
        <v>346.89218593948374</v>
      </c>
      <c r="J469" s="19">
        <f t="shared" si="110"/>
        <v>409.3327794085908</v>
      </c>
      <c r="K469" s="94">
        <f t="shared" si="104"/>
        <v>1.6313220000000004</v>
      </c>
      <c r="N469">
        <f t="shared" si="111"/>
        <v>231.26145729298915</v>
      </c>
    </row>
    <row r="470" spans="1:14" s="111" customFormat="1" ht="13.5" customHeight="1">
      <c r="A470" s="498" t="s">
        <v>92</v>
      </c>
      <c r="B470" s="499" t="s">
        <v>2219</v>
      </c>
      <c r="C470" s="74">
        <v>3</v>
      </c>
      <c r="D470" s="38">
        <v>298.35</v>
      </c>
      <c r="E470" s="57">
        <f t="shared" si="92"/>
        <v>321.58007999999995</v>
      </c>
      <c r="F470" s="32">
        <f t="shared" si="91"/>
        <v>379.4644943999999</v>
      </c>
      <c r="G470" s="80">
        <f t="shared" si="103"/>
        <v>425.2896557999998</v>
      </c>
      <c r="H470" s="19">
        <f t="shared" si="108"/>
        <v>501.84179384399977</v>
      </c>
      <c r="I470" s="80">
        <f t="shared" si="109"/>
        <v>693.7843718789675</v>
      </c>
      <c r="J470" s="19">
        <f t="shared" si="110"/>
        <v>818.6655588171816</v>
      </c>
      <c r="K470" s="94">
        <f t="shared" si="104"/>
        <v>1.6313220000000004</v>
      </c>
      <c r="L470"/>
      <c r="M470"/>
      <c r="N470">
        <f t="shared" si="111"/>
        <v>231.26145729298915</v>
      </c>
    </row>
    <row r="471" spans="1:14" ht="12.75">
      <c r="A471" s="498" t="s">
        <v>93</v>
      </c>
      <c r="B471" s="499" t="s">
        <v>1688</v>
      </c>
      <c r="C471" s="74">
        <v>1</v>
      </c>
      <c r="D471" s="38">
        <v>99.45</v>
      </c>
      <c r="E471" s="57">
        <f t="shared" si="92"/>
        <v>107.19336</v>
      </c>
      <c r="F471" s="32">
        <f t="shared" si="91"/>
        <v>126.48816479999999</v>
      </c>
      <c r="G471" s="80">
        <f t="shared" si="103"/>
        <v>141.76321859999996</v>
      </c>
      <c r="H471" s="19">
        <f t="shared" si="108"/>
        <v>167.28059794799995</v>
      </c>
      <c r="I471" s="80">
        <f t="shared" si="109"/>
        <v>231.26145729298918</v>
      </c>
      <c r="J471" s="19">
        <f t="shared" si="110"/>
        <v>272.8885196057272</v>
      </c>
      <c r="K471" s="94">
        <f t="shared" si="104"/>
        <v>1.6313220000000004</v>
      </c>
      <c r="N471">
        <f t="shared" si="111"/>
        <v>231.26145729298918</v>
      </c>
    </row>
    <row r="472" spans="1:14" ht="12.75">
      <c r="A472" s="498" t="s">
        <v>94</v>
      </c>
      <c r="B472" s="499" t="s">
        <v>2220</v>
      </c>
      <c r="C472" s="74">
        <v>3</v>
      </c>
      <c r="D472" s="38">
        <v>298.35</v>
      </c>
      <c r="E472" s="57">
        <f t="shared" si="92"/>
        <v>321.58007999999995</v>
      </c>
      <c r="F472" s="32">
        <f t="shared" si="91"/>
        <v>379.4644943999999</v>
      </c>
      <c r="G472" s="80">
        <f t="shared" si="103"/>
        <v>425.2896557999998</v>
      </c>
      <c r="H472" s="19">
        <f t="shared" si="108"/>
        <v>501.84179384399977</v>
      </c>
      <c r="I472" s="80">
        <f t="shared" si="109"/>
        <v>693.7843718789675</v>
      </c>
      <c r="J472" s="19">
        <f t="shared" si="110"/>
        <v>818.6655588171816</v>
      </c>
      <c r="K472" s="94">
        <f t="shared" si="104"/>
        <v>1.6313220000000004</v>
      </c>
      <c r="N472">
        <f t="shared" si="111"/>
        <v>231.26145729298915</v>
      </c>
    </row>
    <row r="473" spans="1:14" ht="12.75">
      <c r="A473" s="498" t="s">
        <v>95</v>
      </c>
      <c r="B473" s="499" t="s">
        <v>2221</v>
      </c>
      <c r="C473" s="74">
        <v>2.5</v>
      </c>
      <c r="D473" s="38">
        <v>248.63</v>
      </c>
      <c r="E473" s="57">
        <f t="shared" si="92"/>
        <v>267.9834</v>
      </c>
      <c r="F473" s="32">
        <f t="shared" si="91"/>
        <v>316.220412</v>
      </c>
      <c r="G473" s="80">
        <f t="shared" si="103"/>
        <v>354.40804649999995</v>
      </c>
      <c r="H473" s="19">
        <f t="shared" si="108"/>
        <v>418.2014948699999</v>
      </c>
      <c r="I473" s="80">
        <f t="shared" si="109"/>
        <v>578.1536432324731</v>
      </c>
      <c r="J473" s="19">
        <f t="shared" si="110"/>
        <v>682.2212990143182</v>
      </c>
      <c r="K473" s="94">
        <f t="shared" si="104"/>
        <v>1.6313220000000004</v>
      </c>
      <c r="N473">
        <f t="shared" si="111"/>
        <v>231.26145729298923</v>
      </c>
    </row>
    <row r="474" spans="1:14" ht="12.75">
      <c r="A474" s="498" t="s">
        <v>96</v>
      </c>
      <c r="B474" s="499" t="s">
        <v>2222</v>
      </c>
      <c r="C474" s="74">
        <v>1.5</v>
      </c>
      <c r="D474" s="38">
        <v>149.17</v>
      </c>
      <c r="E474" s="57">
        <f t="shared" si="92"/>
        <v>160.79003999999998</v>
      </c>
      <c r="F474" s="32">
        <f t="shared" si="91"/>
        <v>189.73224719999996</v>
      </c>
      <c r="G474" s="80">
        <f t="shared" si="103"/>
        <v>212.6448278999999</v>
      </c>
      <c r="H474" s="19">
        <f t="shared" si="108"/>
        <v>250.92089692199988</v>
      </c>
      <c r="I474" s="80">
        <f t="shared" si="109"/>
        <v>346.89218593948374</v>
      </c>
      <c r="J474" s="19">
        <f t="shared" si="110"/>
        <v>409.3327794085908</v>
      </c>
      <c r="K474" s="94">
        <f t="shared" si="104"/>
        <v>1.6313220000000004</v>
      </c>
      <c r="N474">
        <f t="shared" si="111"/>
        <v>231.26145729298915</v>
      </c>
    </row>
    <row r="475" spans="1:14" s="111" customFormat="1" ht="26.25" customHeight="1">
      <c r="A475" s="481" t="s">
        <v>3179</v>
      </c>
      <c r="B475" s="482" t="s">
        <v>3037</v>
      </c>
      <c r="C475" s="207">
        <v>3.5</v>
      </c>
      <c r="D475" s="19">
        <v>669.95</v>
      </c>
      <c r="E475" s="19">
        <v>789.36</v>
      </c>
      <c r="F475" s="32"/>
      <c r="G475" s="19"/>
      <c r="H475" s="19"/>
      <c r="I475" s="19">
        <f>668.94*1.1*1.1</f>
        <v>809.4174000000003</v>
      </c>
      <c r="J475" s="19">
        <f t="shared" si="110"/>
        <v>955.1125320000002</v>
      </c>
      <c r="K475" s="94"/>
      <c r="L475"/>
      <c r="M475"/>
      <c r="N475">
        <f t="shared" si="111"/>
        <v>231.26211428571438</v>
      </c>
    </row>
    <row r="476" spans="1:14" ht="12.75">
      <c r="A476" s="483" t="s">
        <v>2351</v>
      </c>
      <c r="B476" s="945" t="s">
        <v>2223</v>
      </c>
      <c r="C476" s="945"/>
      <c r="D476" s="945"/>
      <c r="E476" s="945"/>
      <c r="F476" s="945"/>
      <c r="G476" s="945"/>
      <c r="H476" s="945"/>
      <c r="I476" s="945"/>
      <c r="J476" s="945"/>
      <c r="K476" s="111"/>
      <c r="L476" s="111"/>
      <c r="M476" s="111"/>
      <c r="N476" t="e">
        <f t="shared" si="111"/>
        <v>#DIV/0!</v>
      </c>
    </row>
    <row r="477" spans="1:14" ht="12.75">
      <c r="A477" s="498" t="s">
        <v>97</v>
      </c>
      <c r="B477" s="499" t="s">
        <v>1064</v>
      </c>
      <c r="C477" s="74">
        <v>2.5</v>
      </c>
      <c r="D477" s="38">
        <v>248.63</v>
      </c>
      <c r="E477" s="57">
        <f t="shared" si="92"/>
        <v>267.9834</v>
      </c>
      <c r="F477" s="32">
        <f t="shared" si="91"/>
        <v>316.220412</v>
      </c>
      <c r="G477" s="80">
        <f t="shared" si="103"/>
        <v>354.40804649999995</v>
      </c>
      <c r="H477" s="19">
        <f aca="true" t="shared" si="112" ref="H477:H489">G477*1.18</f>
        <v>418.2014948699999</v>
      </c>
      <c r="I477" s="80">
        <f aca="true" t="shared" si="113" ref="I477:I489">G477*1.2*1.05*1.07*1.1*1.1</f>
        <v>578.1536432324731</v>
      </c>
      <c r="J477" s="19">
        <f aca="true" t="shared" si="114" ref="J477:J489">I477*1.18</f>
        <v>682.2212990143182</v>
      </c>
      <c r="K477" s="94">
        <f t="shared" si="104"/>
        <v>1.6313220000000004</v>
      </c>
      <c r="N477">
        <f t="shared" si="111"/>
        <v>231.26145729298923</v>
      </c>
    </row>
    <row r="478" spans="1:14" ht="12.75">
      <c r="A478" s="498" t="s">
        <v>98</v>
      </c>
      <c r="B478" s="499" t="s">
        <v>2534</v>
      </c>
      <c r="C478" s="74">
        <v>2.5</v>
      </c>
      <c r="D478" s="38">
        <v>248.63</v>
      </c>
      <c r="E478" s="57">
        <f t="shared" si="92"/>
        <v>267.9834</v>
      </c>
      <c r="F478" s="32">
        <f t="shared" si="91"/>
        <v>316.220412</v>
      </c>
      <c r="G478" s="80">
        <f t="shared" si="103"/>
        <v>354.40804649999995</v>
      </c>
      <c r="H478" s="19">
        <f t="shared" si="112"/>
        <v>418.2014948699999</v>
      </c>
      <c r="I478" s="80">
        <f t="shared" si="113"/>
        <v>578.1536432324731</v>
      </c>
      <c r="J478" s="19">
        <f t="shared" si="114"/>
        <v>682.2212990143182</v>
      </c>
      <c r="K478" s="94">
        <f t="shared" si="104"/>
        <v>1.6313220000000004</v>
      </c>
      <c r="N478">
        <f t="shared" si="111"/>
        <v>231.26145729298923</v>
      </c>
    </row>
    <row r="479" spans="1:14" ht="12.75">
      <c r="A479" s="498" t="s">
        <v>99</v>
      </c>
      <c r="B479" s="499" t="s">
        <v>2533</v>
      </c>
      <c r="C479" s="74">
        <v>2.5</v>
      </c>
      <c r="D479" s="38">
        <v>248.63</v>
      </c>
      <c r="E479" s="57">
        <f t="shared" si="92"/>
        <v>267.9834</v>
      </c>
      <c r="F479" s="32">
        <f t="shared" si="91"/>
        <v>316.220412</v>
      </c>
      <c r="G479" s="80">
        <f t="shared" si="103"/>
        <v>354.40804649999995</v>
      </c>
      <c r="H479" s="19">
        <f t="shared" si="112"/>
        <v>418.2014948699999</v>
      </c>
      <c r="I479" s="80">
        <f t="shared" si="113"/>
        <v>578.1536432324731</v>
      </c>
      <c r="J479" s="19">
        <f t="shared" si="114"/>
        <v>682.2212990143182</v>
      </c>
      <c r="K479" s="94">
        <f t="shared" si="104"/>
        <v>1.6313220000000004</v>
      </c>
      <c r="N479">
        <f t="shared" si="111"/>
        <v>231.26145729298923</v>
      </c>
    </row>
    <row r="480" spans="1:14" ht="12.75">
      <c r="A480" s="498" t="s">
        <v>100</v>
      </c>
      <c r="B480" s="499" t="s">
        <v>407</v>
      </c>
      <c r="C480" s="74">
        <v>2.2</v>
      </c>
      <c r="D480" s="38">
        <v>248.63</v>
      </c>
      <c r="E480" s="57">
        <f t="shared" si="92"/>
        <v>235.825392</v>
      </c>
      <c r="F480" s="32">
        <f t="shared" si="91"/>
        <v>278.27396256</v>
      </c>
      <c r="G480" s="80">
        <f t="shared" si="103"/>
        <v>311.8790809199999</v>
      </c>
      <c r="H480" s="19">
        <f t="shared" si="112"/>
        <v>368.0173154855999</v>
      </c>
      <c r="I480" s="80">
        <f t="shared" si="113"/>
        <v>508.77520604457624</v>
      </c>
      <c r="J480" s="19">
        <f t="shared" si="114"/>
        <v>600.3547431325999</v>
      </c>
      <c r="K480" s="94">
        <f t="shared" si="104"/>
        <v>1.6313220000000004</v>
      </c>
      <c r="N480">
        <f t="shared" si="111"/>
        <v>231.26145729298918</v>
      </c>
    </row>
    <row r="481" spans="1:14" ht="12.75">
      <c r="A481" s="498" t="s">
        <v>101</v>
      </c>
      <c r="B481" s="499" t="s">
        <v>798</v>
      </c>
      <c r="C481" s="74">
        <v>2</v>
      </c>
      <c r="D481" s="38">
        <v>298.35</v>
      </c>
      <c r="E481" s="57">
        <f t="shared" si="92"/>
        <v>214.38672</v>
      </c>
      <c r="F481" s="32">
        <f t="shared" si="91"/>
        <v>252.97632959999999</v>
      </c>
      <c r="G481" s="80">
        <f t="shared" si="103"/>
        <v>283.5264371999999</v>
      </c>
      <c r="H481" s="19">
        <f t="shared" si="112"/>
        <v>334.5611958959999</v>
      </c>
      <c r="I481" s="80">
        <f t="shared" si="113"/>
        <v>462.52291458597836</v>
      </c>
      <c r="J481" s="19">
        <f t="shared" si="114"/>
        <v>545.7770392114544</v>
      </c>
      <c r="K481" s="94">
        <f t="shared" si="104"/>
        <v>1.6313220000000004</v>
      </c>
      <c r="N481">
        <f t="shared" si="111"/>
        <v>231.26145729298918</v>
      </c>
    </row>
    <row r="482" spans="1:14" ht="12.75">
      <c r="A482" s="498" t="s">
        <v>102</v>
      </c>
      <c r="B482" s="499" t="s">
        <v>1031</v>
      </c>
      <c r="C482" s="74">
        <v>2.5</v>
      </c>
      <c r="D482" s="38">
        <v>248.63</v>
      </c>
      <c r="E482" s="57">
        <f t="shared" si="92"/>
        <v>267.9834</v>
      </c>
      <c r="F482" s="32">
        <f t="shared" si="91"/>
        <v>316.220412</v>
      </c>
      <c r="G482" s="80">
        <f t="shared" si="103"/>
        <v>354.40804649999995</v>
      </c>
      <c r="H482" s="19">
        <f t="shared" si="112"/>
        <v>418.2014948699999</v>
      </c>
      <c r="I482" s="80">
        <f t="shared" si="113"/>
        <v>578.1536432324731</v>
      </c>
      <c r="J482" s="19">
        <f t="shared" si="114"/>
        <v>682.2212990143182</v>
      </c>
      <c r="K482" s="94">
        <f t="shared" si="104"/>
        <v>1.6313220000000004</v>
      </c>
      <c r="N482">
        <f t="shared" si="111"/>
        <v>231.26145729298923</v>
      </c>
    </row>
    <row r="483" spans="1:14" ht="12.75">
      <c r="A483" s="498" t="s">
        <v>103</v>
      </c>
      <c r="B483" s="499" t="s">
        <v>2224</v>
      </c>
      <c r="C483" s="74">
        <v>2</v>
      </c>
      <c r="D483" s="38">
        <v>198.9</v>
      </c>
      <c r="E483" s="57">
        <f t="shared" si="92"/>
        <v>214.38672</v>
      </c>
      <c r="F483" s="32">
        <f t="shared" si="91"/>
        <v>252.97632959999999</v>
      </c>
      <c r="G483" s="80">
        <f t="shared" si="103"/>
        <v>283.5264371999999</v>
      </c>
      <c r="H483" s="19">
        <f t="shared" si="112"/>
        <v>334.5611958959999</v>
      </c>
      <c r="I483" s="80">
        <f t="shared" si="113"/>
        <v>462.52291458597836</v>
      </c>
      <c r="J483" s="19">
        <f t="shared" si="114"/>
        <v>545.7770392114544</v>
      </c>
      <c r="K483" s="94">
        <f t="shared" si="104"/>
        <v>1.6313220000000004</v>
      </c>
      <c r="N483">
        <f t="shared" si="111"/>
        <v>231.26145729298918</v>
      </c>
    </row>
    <row r="484" spans="1:14" ht="12.75">
      <c r="A484" s="498" t="s">
        <v>104</v>
      </c>
      <c r="B484" s="499" t="s">
        <v>1052</v>
      </c>
      <c r="C484" s="74">
        <v>2</v>
      </c>
      <c r="D484" s="38">
        <v>198.9</v>
      </c>
      <c r="E484" s="57">
        <f t="shared" si="92"/>
        <v>214.38672</v>
      </c>
      <c r="F484" s="32">
        <f t="shared" si="91"/>
        <v>252.97632959999999</v>
      </c>
      <c r="G484" s="80">
        <f t="shared" si="103"/>
        <v>283.5264371999999</v>
      </c>
      <c r="H484" s="19">
        <f t="shared" si="112"/>
        <v>334.5611958959999</v>
      </c>
      <c r="I484" s="80">
        <f t="shared" si="113"/>
        <v>462.52291458597836</v>
      </c>
      <c r="J484" s="19">
        <f t="shared" si="114"/>
        <v>545.7770392114544</v>
      </c>
      <c r="K484" s="94">
        <f t="shared" si="104"/>
        <v>1.6313220000000004</v>
      </c>
      <c r="N484">
        <f t="shared" si="111"/>
        <v>231.26145729298918</v>
      </c>
    </row>
    <row r="485" spans="1:14" ht="12.75">
      <c r="A485" s="498" t="s">
        <v>105</v>
      </c>
      <c r="B485" s="499" t="s">
        <v>408</v>
      </c>
      <c r="C485" s="74">
        <v>2</v>
      </c>
      <c r="D485" s="38">
        <v>298.35</v>
      </c>
      <c r="E485" s="57">
        <f t="shared" si="92"/>
        <v>214.38672</v>
      </c>
      <c r="F485" s="32">
        <f aca="true" t="shared" si="115" ref="F485:F610">E485*1.18</f>
        <v>252.97632959999999</v>
      </c>
      <c r="G485" s="80">
        <f t="shared" si="103"/>
        <v>283.5264371999999</v>
      </c>
      <c r="H485" s="19">
        <f t="shared" si="112"/>
        <v>334.5611958959999</v>
      </c>
      <c r="I485" s="80">
        <f t="shared" si="113"/>
        <v>462.52291458597836</v>
      </c>
      <c r="J485" s="19">
        <f t="shared" si="114"/>
        <v>545.7770392114544</v>
      </c>
      <c r="K485" s="94">
        <f t="shared" si="104"/>
        <v>1.6313220000000004</v>
      </c>
      <c r="N485">
        <f t="shared" si="111"/>
        <v>231.26145729298918</v>
      </c>
    </row>
    <row r="486" spans="1:14" ht="12.75">
      <c r="A486" s="498" t="s">
        <v>106</v>
      </c>
      <c r="B486" s="499" t="s">
        <v>1548</v>
      </c>
      <c r="C486" s="74">
        <v>0.3</v>
      </c>
      <c r="D486" s="38">
        <v>99.45</v>
      </c>
      <c r="E486" s="57">
        <f t="shared" si="92"/>
        <v>32.158007999999995</v>
      </c>
      <c r="F486" s="32">
        <f t="shared" si="115"/>
        <v>37.946449439999995</v>
      </c>
      <c r="G486" s="80">
        <f t="shared" si="103"/>
        <v>42.52896557999998</v>
      </c>
      <c r="H486" s="19">
        <f t="shared" si="112"/>
        <v>50.184179384399975</v>
      </c>
      <c r="I486" s="80">
        <f t="shared" si="113"/>
        <v>69.37843718789675</v>
      </c>
      <c r="J486" s="19">
        <f t="shared" si="114"/>
        <v>81.86655588171816</v>
      </c>
      <c r="K486" s="94">
        <f t="shared" si="104"/>
        <v>1.6313220000000004</v>
      </c>
      <c r="N486">
        <f t="shared" si="111"/>
        <v>231.26145729298918</v>
      </c>
    </row>
    <row r="487" spans="1:14" ht="25.5">
      <c r="A487" s="498" t="s">
        <v>107</v>
      </c>
      <c r="B487" s="499" t="s">
        <v>706</v>
      </c>
      <c r="C487" s="74">
        <v>3.5</v>
      </c>
      <c r="D487" s="38">
        <v>546.97</v>
      </c>
      <c r="E487" s="57">
        <f t="shared" si="92"/>
        <v>375.17676</v>
      </c>
      <c r="F487" s="32">
        <f t="shared" si="115"/>
        <v>442.7085768</v>
      </c>
      <c r="G487" s="80">
        <f t="shared" si="103"/>
        <v>496.1712650999999</v>
      </c>
      <c r="H487" s="19">
        <f t="shared" si="112"/>
        <v>585.4820928179998</v>
      </c>
      <c r="I487" s="80">
        <f t="shared" si="113"/>
        <v>809.4151005254622</v>
      </c>
      <c r="J487" s="19">
        <f t="shared" si="114"/>
        <v>955.1098186200453</v>
      </c>
      <c r="K487" s="94">
        <f t="shared" si="104"/>
        <v>1.6313220000000004</v>
      </c>
      <c r="N487">
        <f t="shared" si="111"/>
        <v>231.2614572929892</v>
      </c>
    </row>
    <row r="488" spans="1:14" ht="12.75">
      <c r="A488" s="498" t="s">
        <v>108</v>
      </c>
      <c r="B488" s="499" t="s">
        <v>1473</v>
      </c>
      <c r="C488" s="74">
        <v>1</v>
      </c>
      <c r="D488" s="38">
        <v>99.45</v>
      </c>
      <c r="E488" s="57">
        <f>C488*97.36*1.101</f>
        <v>107.19336</v>
      </c>
      <c r="F488" s="32">
        <f t="shared" si="115"/>
        <v>126.48816479999999</v>
      </c>
      <c r="G488" s="80">
        <f t="shared" si="103"/>
        <v>141.76321859999996</v>
      </c>
      <c r="H488" s="19">
        <f t="shared" si="112"/>
        <v>167.28059794799995</v>
      </c>
      <c r="I488" s="80">
        <f t="shared" si="113"/>
        <v>231.26145729298918</v>
      </c>
      <c r="J488" s="19">
        <f t="shared" si="114"/>
        <v>272.8885196057272</v>
      </c>
      <c r="K488" s="94">
        <f t="shared" si="104"/>
        <v>1.6313220000000004</v>
      </c>
      <c r="N488">
        <f t="shared" si="111"/>
        <v>231.26145729298918</v>
      </c>
    </row>
    <row r="489" spans="1:14" ht="15.75" customHeight="1">
      <c r="A489" s="498" t="s">
        <v>109</v>
      </c>
      <c r="B489" s="499" t="s">
        <v>1540</v>
      </c>
      <c r="C489" s="74">
        <v>0.5</v>
      </c>
      <c r="D489" s="38">
        <v>546.97</v>
      </c>
      <c r="E489" s="57">
        <f>C489*97.36*1.101</f>
        <v>53.59668</v>
      </c>
      <c r="F489" s="32">
        <f t="shared" si="115"/>
        <v>63.244082399999996</v>
      </c>
      <c r="G489" s="80">
        <f t="shared" si="103"/>
        <v>70.88160929999998</v>
      </c>
      <c r="H489" s="19">
        <f t="shared" si="112"/>
        <v>83.64029897399998</v>
      </c>
      <c r="I489" s="80">
        <f t="shared" si="113"/>
        <v>115.63072864649459</v>
      </c>
      <c r="J489" s="19">
        <f t="shared" si="114"/>
        <v>136.4442598028636</v>
      </c>
      <c r="K489" s="94">
        <f t="shared" si="104"/>
        <v>1.6313220000000004</v>
      </c>
      <c r="N489">
        <f t="shared" si="111"/>
        <v>231.26145729298918</v>
      </c>
    </row>
    <row r="490" spans="1:14" ht="38.25">
      <c r="A490" s="481" t="s">
        <v>3180</v>
      </c>
      <c r="B490" s="482" t="s">
        <v>3037</v>
      </c>
      <c r="C490" s="207">
        <v>3.5</v>
      </c>
      <c r="D490" s="19">
        <v>669.95</v>
      </c>
      <c r="E490" s="19">
        <v>789.36</v>
      </c>
      <c r="F490" s="32"/>
      <c r="G490" s="19"/>
      <c r="H490" s="19"/>
      <c r="I490" s="19">
        <f>668.94*1.1*1.1</f>
        <v>809.4174000000003</v>
      </c>
      <c r="J490" s="19">
        <f>I490*1.18</f>
        <v>955.1125320000002</v>
      </c>
      <c r="K490" s="94"/>
      <c r="N490">
        <f t="shared" si="111"/>
        <v>231.26211428571438</v>
      </c>
    </row>
    <row r="491" spans="1:14" ht="12.75">
      <c r="A491" s="483" t="s">
        <v>2352</v>
      </c>
      <c r="B491" s="945" t="s">
        <v>1668</v>
      </c>
      <c r="C491" s="945"/>
      <c r="D491" s="945"/>
      <c r="E491" s="945"/>
      <c r="F491" s="945"/>
      <c r="G491" s="945"/>
      <c r="H491" s="945"/>
      <c r="I491" s="945"/>
      <c r="J491" s="945"/>
      <c r="K491" s="111"/>
      <c r="L491" s="111"/>
      <c r="M491" s="111"/>
      <c r="N491" t="e">
        <f t="shared" si="111"/>
        <v>#DIV/0!</v>
      </c>
    </row>
    <row r="492" spans="1:14" ht="12.75">
      <c r="A492" s="498" t="s">
        <v>110</v>
      </c>
      <c r="B492" s="505" t="s">
        <v>1669</v>
      </c>
      <c r="C492" s="204"/>
      <c r="D492" s="40"/>
      <c r="E492" s="57"/>
      <c r="F492" s="32"/>
      <c r="G492" s="80"/>
      <c r="H492" s="19"/>
      <c r="I492" s="80"/>
      <c r="J492" s="19"/>
      <c r="N492" t="e">
        <f t="shared" si="111"/>
        <v>#DIV/0!</v>
      </c>
    </row>
    <row r="493" spans="1:14" ht="12.75">
      <c r="A493" s="503" t="s">
        <v>111</v>
      </c>
      <c r="B493" s="507" t="s">
        <v>1670</v>
      </c>
      <c r="C493" s="120">
        <f>D493/99.45</f>
        <v>0.8</v>
      </c>
      <c r="D493" s="41">
        <v>79.56</v>
      </c>
      <c r="E493" s="57">
        <f aca="true" t="shared" si="116" ref="E493:E517">C493*97.36*1.101</f>
        <v>85.754688</v>
      </c>
      <c r="F493" s="32">
        <f t="shared" si="115"/>
        <v>101.19053183999999</v>
      </c>
      <c r="G493" s="80">
        <f aca="true" t="shared" si="117" ref="G493:G517">E493*1.15*1.15</f>
        <v>113.41057487999998</v>
      </c>
      <c r="H493" s="19">
        <f>G493*1.18</f>
        <v>133.82447835839997</v>
      </c>
      <c r="I493" s="80">
        <f>G493*1.2*1.05*1.07*1.1*1.1</f>
        <v>185.00916583439135</v>
      </c>
      <c r="J493" s="19">
        <f>I493*1.18</f>
        <v>218.3108156845818</v>
      </c>
      <c r="K493" s="94">
        <f aca="true" t="shared" si="118" ref="K493:K517">I493/G493</f>
        <v>1.6313220000000002</v>
      </c>
      <c r="N493">
        <f t="shared" si="111"/>
        <v>231.26145729298918</v>
      </c>
    </row>
    <row r="494" spans="1:14" ht="12.75">
      <c r="A494" s="498" t="s">
        <v>112</v>
      </c>
      <c r="B494" s="499" t="s">
        <v>1671</v>
      </c>
      <c r="C494" s="74">
        <v>0.5</v>
      </c>
      <c r="D494" s="38" t="s">
        <v>2397</v>
      </c>
      <c r="E494" s="57">
        <f t="shared" si="116"/>
        <v>53.59668</v>
      </c>
      <c r="F494" s="32">
        <f t="shared" si="115"/>
        <v>63.244082399999996</v>
      </c>
      <c r="G494" s="80">
        <f t="shared" si="117"/>
        <v>70.88160929999998</v>
      </c>
      <c r="H494" s="19">
        <f>G494*1.18</f>
        <v>83.64029897399998</v>
      </c>
      <c r="I494" s="80">
        <f>G494*1.2*1.05*1.07*1.1*1.1</f>
        <v>115.63072864649459</v>
      </c>
      <c r="J494" s="19">
        <f>I494*1.18</f>
        <v>136.4442598028636</v>
      </c>
      <c r="K494" s="94">
        <f t="shared" si="118"/>
        <v>1.6313220000000004</v>
      </c>
      <c r="N494">
        <f t="shared" si="111"/>
        <v>231.26145729298918</v>
      </c>
    </row>
    <row r="495" spans="1:14" ht="12.75">
      <c r="A495" s="498" t="s">
        <v>113</v>
      </c>
      <c r="B495" s="505" t="s">
        <v>1672</v>
      </c>
      <c r="C495" s="204"/>
      <c r="D495" s="39"/>
      <c r="E495" s="57"/>
      <c r="F495" s="32"/>
      <c r="G495" s="80"/>
      <c r="H495" s="19"/>
      <c r="I495" s="80"/>
      <c r="J495" s="19"/>
      <c r="N495" t="e">
        <f t="shared" si="111"/>
        <v>#DIV/0!</v>
      </c>
    </row>
    <row r="496" spans="1:14" ht="12.75">
      <c r="A496" s="498" t="s">
        <v>114</v>
      </c>
      <c r="B496" s="499" t="s">
        <v>1673</v>
      </c>
      <c r="C496" s="74">
        <v>1</v>
      </c>
      <c r="D496" s="38" t="s">
        <v>2385</v>
      </c>
      <c r="E496" s="57">
        <f t="shared" si="116"/>
        <v>107.19336</v>
      </c>
      <c r="F496" s="32">
        <f t="shared" si="115"/>
        <v>126.48816479999999</v>
      </c>
      <c r="G496" s="80">
        <f t="shared" si="117"/>
        <v>141.76321859999996</v>
      </c>
      <c r="H496" s="19">
        <f>G496*1.18</f>
        <v>167.28059794799995</v>
      </c>
      <c r="I496" s="80">
        <f>G496*1.2*1.05*1.07*1.1*1.1</f>
        <v>231.26145729298918</v>
      </c>
      <c r="J496" s="19">
        <f>I496*1.18</f>
        <v>272.8885196057272</v>
      </c>
      <c r="K496" s="94">
        <f t="shared" si="118"/>
        <v>1.6313220000000004</v>
      </c>
      <c r="N496">
        <f t="shared" si="111"/>
        <v>231.26145729298918</v>
      </c>
    </row>
    <row r="497" spans="1:14" ht="12.75">
      <c r="A497" s="498" t="s">
        <v>115</v>
      </c>
      <c r="B497" s="499" t="s">
        <v>1674</v>
      </c>
      <c r="C497" s="74" t="s">
        <v>2396</v>
      </c>
      <c r="D497" s="38" t="s">
        <v>2397</v>
      </c>
      <c r="E497" s="57">
        <f t="shared" si="116"/>
        <v>192.94804799999997</v>
      </c>
      <c r="F497" s="32">
        <f t="shared" si="115"/>
        <v>227.67869663999994</v>
      </c>
      <c r="G497" s="80">
        <f t="shared" si="117"/>
        <v>255.17379347999994</v>
      </c>
      <c r="H497" s="19">
        <f>G497*1.18</f>
        <v>301.1050763063999</v>
      </c>
      <c r="I497" s="80">
        <f>G497*1.2*1.05*1.07*1.1*1.1</f>
        <v>416.2706231273805</v>
      </c>
      <c r="J497" s="19">
        <f>I497*1.18</f>
        <v>491.1993352903089</v>
      </c>
      <c r="K497" s="94">
        <f t="shared" si="118"/>
        <v>1.631322</v>
      </c>
      <c r="N497">
        <f t="shared" si="111"/>
        <v>231.26145729298915</v>
      </c>
    </row>
    <row r="498" spans="1:14" ht="12.75">
      <c r="A498" s="498" t="s">
        <v>116</v>
      </c>
      <c r="B498" s="499" t="s">
        <v>1675</v>
      </c>
      <c r="C498" s="74" t="s">
        <v>2396</v>
      </c>
      <c r="D498" s="38" t="s">
        <v>2397</v>
      </c>
      <c r="E498" s="57">
        <f t="shared" si="116"/>
        <v>192.94804799999997</v>
      </c>
      <c r="F498" s="32">
        <f t="shared" si="115"/>
        <v>227.67869663999994</v>
      </c>
      <c r="G498" s="80">
        <f t="shared" si="117"/>
        <v>255.17379347999994</v>
      </c>
      <c r="H498" s="19">
        <f>G498*1.18</f>
        <v>301.1050763063999</v>
      </c>
      <c r="I498" s="80">
        <f>G498*1.2*1.05*1.07*1.1*1.1</f>
        <v>416.2706231273805</v>
      </c>
      <c r="J498" s="19">
        <f>I498*1.18</f>
        <v>491.1993352903089</v>
      </c>
      <c r="K498" s="94">
        <f t="shared" si="118"/>
        <v>1.631322</v>
      </c>
      <c r="N498">
        <f t="shared" si="111"/>
        <v>231.26145729298915</v>
      </c>
    </row>
    <row r="499" spans="1:14" ht="12.75">
      <c r="A499" s="498" t="s">
        <v>117</v>
      </c>
      <c r="B499" s="505" t="s">
        <v>1676</v>
      </c>
      <c r="C499" s="204"/>
      <c r="D499" s="40"/>
      <c r="E499" s="57"/>
      <c r="F499" s="32"/>
      <c r="G499" s="80"/>
      <c r="H499" s="19"/>
      <c r="I499" s="80"/>
      <c r="J499" s="19"/>
      <c r="N499" t="e">
        <f t="shared" si="111"/>
        <v>#DIV/0!</v>
      </c>
    </row>
    <row r="500" spans="1:14" ht="12.75">
      <c r="A500" s="498" t="s">
        <v>118</v>
      </c>
      <c r="B500" s="499" t="s">
        <v>1677</v>
      </c>
      <c r="C500" s="74" t="s">
        <v>438</v>
      </c>
      <c r="D500" s="38" t="s">
        <v>1678</v>
      </c>
      <c r="E500" s="57">
        <f t="shared" si="116"/>
        <v>139.351368</v>
      </c>
      <c r="F500" s="32">
        <f t="shared" si="115"/>
        <v>164.43461424</v>
      </c>
      <c r="G500" s="80">
        <f t="shared" si="117"/>
        <v>184.29218417999996</v>
      </c>
      <c r="H500" s="19">
        <f aca="true" t="shared" si="119" ref="H500:H518">G500*1.18</f>
        <v>217.46477733239993</v>
      </c>
      <c r="I500" s="80">
        <f aca="true" t="shared" si="120" ref="I500:I517">G500*1.2*1.05*1.07*1.1*1.1</f>
        <v>300.63989448088597</v>
      </c>
      <c r="J500" s="19">
        <f aca="true" t="shared" si="121" ref="J500:J530">I500*1.18</f>
        <v>354.7550754874454</v>
      </c>
      <c r="K500" s="94">
        <f t="shared" si="118"/>
        <v>1.6313220000000004</v>
      </c>
      <c r="N500">
        <f t="shared" si="111"/>
        <v>231.2614572929892</v>
      </c>
    </row>
    <row r="501" spans="1:14" ht="12.75">
      <c r="A501" s="498" t="s">
        <v>119</v>
      </c>
      <c r="B501" s="499" t="s">
        <v>1679</v>
      </c>
      <c r="C501" s="74" t="s">
        <v>438</v>
      </c>
      <c r="D501" s="38" t="s">
        <v>1678</v>
      </c>
      <c r="E501" s="57">
        <f t="shared" si="116"/>
        <v>139.351368</v>
      </c>
      <c r="F501" s="32">
        <f t="shared" si="115"/>
        <v>164.43461424</v>
      </c>
      <c r="G501" s="80">
        <f t="shared" si="117"/>
        <v>184.29218417999996</v>
      </c>
      <c r="H501" s="19">
        <f t="shared" si="119"/>
        <v>217.46477733239993</v>
      </c>
      <c r="I501" s="80">
        <f t="shared" si="120"/>
        <v>300.63989448088597</v>
      </c>
      <c r="J501" s="19">
        <f t="shared" si="121"/>
        <v>354.7550754874454</v>
      </c>
      <c r="K501" s="94">
        <f t="shared" si="118"/>
        <v>1.6313220000000004</v>
      </c>
      <c r="N501">
        <f t="shared" si="111"/>
        <v>231.2614572929892</v>
      </c>
    </row>
    <row r="502" spans="1:14" ht="12.75">
      <c r="A502" s="498" t="s">
        <v>120</v>
      </c>
      <c r="B502" s="499" t="s">
        <v>1680</v>
      </c>
      <c r="C502" s="74" t="s">
        <v>438</v>
      </c>
      <c r="D502" s="38" t="s">
        <v>1678</v>
      </c>
      <c r="E502" s="57">
        <f t="shared" si="116"/>
        <v>139.351368</v>
      </c>
      <c r="F502" s="32">
        <f t="shared" si="115"/>
        <v>164.43461424</v>
      </c>
      <c r="G502" s="80">
        <f t="shared" si="117"/>
        <v>184.29218417999996</v>
      </c>
      <c r="H502" s="19">
        <f t="shared" si="119"/>
        <v>217.46477733239993</v>
      </c>
      <c r="I502" s="80">
        <f t="shared" si="120"/>
        <v>300.63989448088597</v>
      </c>
      <c r="J502" s="19">
        <f t="shared" si="121"/>
        <v>354.7550754874454</v>
      </c>
      <c r="K502" s="94">
        <f t="shared" si="118"/>
        <v>1.6313220000000004</v>
      </c>
      <c r="N502">
        <f t="shared" si="111"/>
        <v>231.2614572929892</v>
      </c>
    </row>
    <row r="503" spans="1:14" ht="12.75">
      <c r="A503" s="498" t="s">
        <v>121</v>
      </c>
      <c r="B503" s="499" t="s">
        <v>408</v>
      </c>
      <c r="C503" s="74" t="s">
        <v>1684</v>
      </c>
      <c r="D503" s="38" t="s">
        <v>1685</v>
      </c>
      <c r="E503" s="57">
        <f t="shared" si="116"/>
        <v>321.58007999999995</v>
      </c>
      <c r="F503" s="32">
        <f t="shared" si="115"/>
        <v>379.4644943999999</v>
      </c>
      <c r="G503" s="80">
        <f t="shared" si="117"/>
        <v>425.2896557999998</v>
      </c>
      <c r="H503" s="19">
        <f t="shared" si="119"/>
        <v>501.84179384399977</v>
      </c>
      <c r="I503" s="80">
        <f t="shared" si="120"/>
        <v>693.7843718789675</v>
      </c>
      <c r="J503" s="19">
        <f t="shared" si="121"/>
        <v>818.6655588171816</v>
      </c>
      <c r="K503" s="94">
        <f t="shared" si="118"/>
        <v>1.6313220000000004</v>
      </c>
      <c r="N503">
        <f t="shared" si="111"/>
        <v>231.26145729298915</v>
      </c>
    </row>
    <row r="504" spans="1:14" ht="12.75">
      <c r="A504" s="498" t="s">
        <v>122</v>
      </c>
      <c r="B504" s="499" t="s">
        <v>2210</v>
      </c>
      <c r="C504" s="74" t="s">
        <v>2392</v>
      </c>
      <c r="D504" s="38" t="s">
        <v>1681</v>
      </c>
      <c r="E504" s="57">
        <f t="shared" si="116"/>
        <v>267.9834</v>
      </c>
      <c r="F504" s="32">
        <f t="shared" si="115"/>
        <v>316.220412</v>
      </c>
      <c r="G504" s="80">
        <f t="shared" si="117"/>
        <v>354.40804649999995</v>
      </c>
      <c r="H504" s="19">
        <f t="shared" si="119"/>
        <v>418.2014948699999</v>
      </c>
      <c r="I504" s="80">
        <f t="shared" si="120"/>
        <v>578.1536432324731</v>
      </c>
      <c r="J504" s="19">
        <f t="shared" si="121"/>
        <v>682.2212990143182</v>
      </c>
      <c r="K504" s="94">
        <f t="shared" si="118"/>
        <v>1.6313220000000004</v>
      </c>
      <c r="N504">
        <f t="shared" si="111"/>
        <v>231.26145729298923</v>
      </c>
    </row>
    <row r="505" spans="1:14" ht="38.25">
      <c r="A505" s="498" t="s">
        <v>123</v>
      </c>
      <c r="B505" s="499" t="s">
        <v>1472</v>
      </c>
      <c r="C505" s="74" t="s">
        <v>2508</v>
      </c>
      <c r="D505" s="38" t="s">
        <v>2509</v>
      </c>
      <c r="E505" s="57">
        <f t="shared" si="116"/>
        <v>214.38672</v>
      </c>
      <c r="F505" s="32">
        <f t="shared" si="115"/>
        <v>252.97632959999999</v>
      </c>
      <c r="G505" s="80">
        <f t="shared" si="117"/>
        <v>283.5264371999999</v>
      </c>
      <c r="H505" s="19">
        <f t="shared" si="119"/>
        <v>334.5611958959999</v>
      </c>
      <c r="I505" s="80">
        <f t="shared" si="120"/>
        <v>462.52291458597836</v>
      </c>
      <c r="J505" s="19">
        <f t="shared" si="121"/>
        <v>545.7770392114544</v>
      </c>
      <c r="K505" s="94">
        <f t="shared" si="118"/>
        <v>1.6313220000000004</v>
      </c>
      <c r="N505">
        <f t="shared" si="111"/>
        <v>231.26145729298918</v>
      </c>
    </row>
    <row r="506" spans="1:14" ht="25.5">
      <c r="A506" s="498" t="s">
        <v>124</v>
      </c>
      <c r="B506" s="499" t="s">
        <v>706</v>
      </c>
      <c r="C506" s="74">
        <v>3.5</v>
      </c>
      <c r="D506" s="38" t="s">
        <v>1539</v>
      </c>
      <c r="E506" s="57">
        <f t="shared" si="116"/>
        <v>375.17676</v>
      </c>
      <c r="F506" s="32">
        <f t="shared" si="115"/>
        <v>442.7085768</v>
      </c>
      <c r="G506" s="80">
        <f t="shared" si="117"/>
        <v>496.1712650999999</v>
      </c>
      <c r="H506" s="19">
        <f t="shared" si="119"/>
        <v>585.4820928179998</v>
      </c>
      <c r="I506" s="80">
        <f t="shared" si="120"/>
        <v>809.4151005254622</v>
      </c>
      <c r="J506" s="19">
        <f t="shared" si="121"/>
        <v>955.1098186200453</v>
      </c>
      <c r="K506" s="94">
        <f t="shared" si="118"/>
        <v>1.6313220000000004</v>
      </c>
      <c r="N506">
        <f t="shared" si="111"/>
        <v>231.2614572929892</v>
      </c>
    </row>
    <row r="507" spans="1:14" ht="12.75">
      <c r="A507" s="498" t="s">
        <v>125</v>
      </c>
      <c r="B507" s="499" t="s">
        <v>1473</v>
      </c>
      <c r="C507" s="74">
        <v>0.3</v>
      </c>
      <c r="D507" s="38" t="s">
        <v>1055</v>
      </c>
      <c r="E507" s="57">
        <f t="shared" si="116"/>
        <v>32.158007999999995</v>
      </c>
      <c r="F507" s="32">
        <f t="shared" si="115"/>
        <v>37.946449439999995</v>
      </c>
      <c r="G507" s="80">
        <f t="shared" si="117"/>
        <v>42.52896557999998</v>
      </c>
      <c r="H507" s="19">
        <f t="shared" si="119"/>
        <v>50.184179384399975</v>
      </c>
      <c r="I507" s="80">
        <f t="shared" si="120"/>
        <v>69.37843718789675</v>
      </c>
      <c r="J507" s="19">
        <f t="shared" si="121"/>
        <v>81.86655588171816</v>
      </c>
      <c r="K507" s="94">
        <f t="shared" si="118"/>
        <v>1.6313220000000004</v>
      </c>
      <c r="N507">
        <f t="shared" si="111"/>
        <v>231.26145729298918</v>
      </c>
    </row>
    <row r="508" spans="1:14" ht="12.75">
      <c r="A508" s="498" t="s">
        <v>126</v>
      </c>
      <c r="B508" s="499" t="s">
        <v>1548</v>
      </c>
      <c r="C508" s="74">
        <v>0.3</v>
      </c>
      <c r="D508" s="38" t="s">
        <v>1055</v>
      </c>
      <c r="E508" s="57">
        <f t="shared" si="116"/>
        <v>32.158007999999995</v>
      </c>
      <c r="F508" s="32">
        <f t="shared" si="115"/>
        <v>37.946449439999995</v>
      </c>
      <c r="G508" s="80">
        <f t="shared" si="117"/>
        <v>42.52896557999998</v>
      </c>
      <c r="H508" s="19">
        <f t="shared" si="119"/>
        <v>50.184179384399975</v>
      </c>
      <c r="I508" s="80">
        <f t="shared" si="120"/>
        <v>69.37843718789675</v>
      </c>
      <c r="J508" s="19">
        <f t="shared" si="121"/>
        <v>81.86655588171816</v>
      </c>
      <c r="K508" s="94">
        <f t="shared" si="118"/>
        <v>1.6313220000000004</v>
      </c>
      <c r="N508">
        <f t="shared" si="111"/>
        <v>231.26145729298918</v>
      </c>
    </row>
    <row r="509" spans="1:14" ht="12.75">
      <c r="A509" s="498" t="s">
        <v>127</v>
      </c>
      <c r="B509" s="499" t="s">
        <v>1540</v>
      </c>
      <c r="C509" s="74" t="s">
        <v>1057</v>
      </c>
      <c r="D509" s="38" t="s">
        <v>1058</v>
      </c>
      <c r="E509" s="57">
        <f t="shared" si="116"/>
        <v>53.59668</v>
      </c>
      <c r="F509" s="32">
        <f t="shared" si="115"/>
        <v>63.244082399999996</v>
      </c>
      <c r="G509" s="80">
        <f t="shared" si="117"/>
        <v>70.88160929999998</v>
      </c>
      <c r="H509" s="19">
        <f t="shared" si="119"/>
        <v>83.64029897399998</v>
      </c>
      <c r="I509" s="80">
        <f t="shared" si="120"/>
        <v>115.63072864649459</v>
      </c>
      <c r="J509" s="19">
        <f t="shared" si="121"/>
        <v>136.4442598028636</v>
      </c>
      <c r="K509" s="94">
        <f t="shared" si="118"/>
        <v>1.6313220000000004</v>
      </c>
      <c r="N509">
        <f t="shared" si="111"/>
        <v>231.26145729298918</v>
      </c>
    </row>
    <row r="510" spans="1:14" ht="12.75">
      <c r="A510" s="498" t="s">
        <v>128</v>
      </c>
      <c r="B510" s="499" t="s">
        <v>1955</v>
      </c>
      <c r="C510" s="74">
        <v>1.3</v>
      </c>
      <c r="D510" s="38"/>
      <c r="E510" s="57">
        <f t="shared" si="116"/>
        <v>139.351368</v>
      </c>
      <c r="F510" s="32">
        <f t="shared" si="115"/>
        <v>164.43461424</v>
      </c>
      <c r="G510" s="80">
        <f t="shared" si="117"/>
        <v>184.29218417999996</v>
      </c>
      <c r="H510" s="19">
        <f t="shared" si="119"/>
        <v>217.46477733239993</v>
      </c>
      <c r="I510" s="80">
        <f t="shared" si="120"/>
        <v>300.63989448088597</v>
      </c>
      <c r="J510" s="19">
        <f t="shared" si="121"/>
        <v>354.7550754874454</v>
      </c>
      <c r="K510" s="94">
        <f t="shared" si="118"/>
        <v>1.6313220000000004</v>
      </c>
      <c r="N510">
        <f t="shared" si="111"/>
        <v>231.2614572929892</v>
      </c>
    </row>
    <row r="511" spans="1:14" ht="25.5">
      <c r="A511" s="498" t="s">
        <v>129</v>
      </c>
      <c r="B511" s="499" t="s">
        <v>1956</v>
      </c>
      <c r="C511" s="74">
        <v>1.5</v>
      </c>
      <c r="D511" s="38"/>
      <c r="E511" s="57">
        <f t="shared" si="116"/>
        <v>160.79003999999998</v>
      </c>
      <c r="F511" s="32">
        <f t="shared" si="115"/>
        <v>189.73224719999996</v>
      </c>
      <c r="G511" s="80">
        <f t="shared" si="117"/>
        <v>212.6448278999999</v>
      </c>
      <c r="H511" s="19">
        <f t="shared" si="119"/>
        <v>250.92089692199988</v>
      </c>
      <c r="I511" s="80">
        <f t="shared" si="120"/>
        <v>346.89218593948374</v>
      </c>
      <c r="J511" s="19">
        <f t="shared" si="121"/>
        <v>409.3327794085908</v>
      </c>
      <c r="K511" s="94">
        <f t="shared" si="118"/>
        <v>1.6313220000000004</v>
      </c>
      <c r="N511">
        <f t="shared" si="111"/>
        <v>231.26145729298915</v>
      </c>
    </row>
    <row r="512" spans="1:14" ht="25.5">
      <c r="A512" s="498" t="s">
        <v>130</v>
      </c>
      <c r="B512" s="499" t="s">
        <v>1959</v>
      </c>
      <c r="C512" s="74">
        <v>3</v>
      </c>
      <c r="D512" s="38"/>
      <c r="E512" s="57">
        <f t="shared" si="116"/>
        <v>321.58007999999995</v>
      </c>
      <c r="F512" s="32">
        <f t="shared" si="115"/>
        <v>379.4644943999999</v>
      </c>
      <c r="G512" s="80">
        <f t="shared" si="117"/>
        <v>425.2896557999998</v>
      </c>
      <c r="H512" s="19">
        <f t="shared" si="119"/>
        <v>501.84179384399977</v>
      </c>
      <c r="I512" s="80">
        <f t="shared" si="120"/>
        <v>693.7843718789675</v>
      </c>
      <c r="J512" s="19">
        <f t="shared" si="121"/>
        <v>818.6655588171816</v>
      </c>
      <c r="K512" s="94">
        <f t="shared" si="118"/>
        <v>1.6313220000000004</v>
      </c>
      <c r="N512">
        <f t="shared" si="111"/>
        <v>231.26145729298915</v>
      </c>
    </row>
    <row r="513" spans="1:14" ht="25.5">
      <c r="A513" s="498" t="s">
        <v>131</v>
      </c>
      <c r="B513" s="499" t="s">
        <v>1960</v>
      </c>
      <c r="C513" s="74">
        <v>1.5</v>
      </c>
      <c r="D513" s="38"/>
      <c r="E513" s="57">
        <f t="shared" si="116"/>
        <v>160.79003999999998</v>
      </c>
      <c r="F513" s="32">
        <f t="shared" si="115"/>
        <v>189.73224719999996</v>
      </c>
      <c r="G513" s="80">
        <f t="shared" si="117"/>
        <v>212.6448278999999</v>
      </c>
      <c r="H513" s="19">
        <f t="shared" si="119"/>
        <v>250.92089692199988</v>
      </c>
      <c r="I513" s="80">
        <f t="shared" si="120"/>
        <v>346.89218593948374</v>
      </c>
      <c r="J513" s="19">
        <f t="shared" si="121"/>
        <v>409.3327794085908</v>
      </c>
      <c r="K513" s="94">
        <f t="shared" si="118"/>
        <v>1.6313220000000004</v>
      </c>
      <c r="N513">
        <f t="shared" si="111"/>
        <v>231.26145729298915</v>
      </c>
    </row>
    <row r="514" spans="1:14" ht="12.75">
      <c r="A514" s="498" t="s">
        <v>132</v>
      </c>
      <c r="B514" s="499" t="s">
        <v>1957</v>
      </c>
      <c r="C514" s="74">
        <v>1.3</v>
      </c>
      <c r="D514" s="38"/>
      <c r="E514" s="57">
        <f t="shared" si="116"/>
        <v>139.351368</v>
      </c>
      <c r="F514" s="32">
        <f t="shared" si="115"/>
        <v>164.43461424</v>
      </c>
      <c r="G514" s="80">
        <f t="shared" si="117"/>
        <v>184.29218417999996</v>
      </c>
      <c r="H514" s="19">
        <f t="shared" si="119"/>
        <v>217.46477733239993</v>
      </c>
      <c r="I514" s="80">
        <f t="shared" si="120"/>
        <v>300.63989448088597</v>
      </c>
      <c r="J514" s="19">
        <f t="shared" si="121"/>
        <v>354.7550754874454</v>
      </c>
      <c r="K514" s="94">
        <f t="shared" si="118"/>
        <v>1.6313220000000004</v>
      </c>
      <c r="N514">
        <f t="shared" si="111"/>
        <v>231.2614572929892</v>
      </c>
    </row>
    <row r="515" spans="1:14" ht="12.75">
      <c r="A515" s="498" t="s">
        <v>133</v>
      </c>
      <c r="B515" s="499" t="s">
        <v>1958</v>
      </c>
      <c r="C515" s="74">
        <v>1.5</v>
      </c>
      <c r="D515" s="38"/>
      <c r="E515" s="57">
        <f t="shared" si="116"/>
        <v>160.79003999999998</v>
      </c>
      <c r="F515" s="32">
        <f t="shared" si="115"/>
        <v>189.73224719999996</v>
      </c>
      <c r="G515" s="80">
        <f t="shared" si="117"/>
        <v>212.6448278999999</v>
      </c>
      <c r="H515" s="19">
        <f t="shared" si="119"/>
        <v>250.92089692199988</v>
      </c>
      <c r="I515" s="80">
        <f t="shared" si="120"/>
        <v>346.89218593948374</v>
      </c>
      <c r="J515" s="19">
        <f t="shared" si="121"/>
        <v>409.3327794085908</v>
      </c>
      <c r="K515" s="94">
        <f t="shared" si="118"/>
        <v>1.6313220000000004</v>
      </c>
      <c r="N515">
        <f t="shared" si="111"/>
        <v>231.26145729298915</v>
      </c>
    </row>
    <row r="516" spans="1:14" ht="12.75">
      <c r="A516" s="481" t="s">
        <v>3181</v>
      </c>
      <c r="B516" s="482" t="s">
        <v>2525</v>
      </c>
      <c r="C516" s="209">
        <v>1.7</v>
      </c>
      <c r="D516" s="474" t="s">
        <v>2393</v>
      </c>
      <c r="E516" s="59">
        <f t="shared" si="116"/>
        <v>182.228712</v>
      </c>
      <c r="F516" s="32">
        <f t="shared" si="115"/>
        <v>215.02988016</v>
      </c>
      <c r="G516" s="19">
        <f t="shared" si="117"/>
        <v>240.99747161999997</v>
      </c>
      <c r="H516" s="19">
        <f t="shared" si="119"/>
        <v>284.37701651159995</v>
      </c>
      <c r="I516" s="19">
        <f t="shared" si="120"/>
        <v>393.14447739808156</v>
      </c>
      <c r="J516" s="19">
        <f t="shared" si="121"/>
        <v>463.9104833297362</v>
      </c>
      <c r="K516" s="478">
        <f t="shared" si="118"/>
        <v>1.631322</v>
      </c>
      <c r="L516" s="479"/>
      <c r="M516" s="479"/>
      <c r="N516">
        <f t="shared" si="111"/>
        <v>231.26145729298915</v>
      </c>
    </row>
    <row r="517" spans="1:14" ht="12.75">
      <c r="A517" s="481" t="s">
        <v>3182</v>
      </c>
      <c r="B517" s="482" t="s">
        <v>3171</v>
      </c>
      <c r="C517" s="209">
        <v>1.7</v>
      </c>
      <c r="D517" s="474" t="s">
        <v>2393</v>
      </c>
      <c r="E517" s="59">
        <f t="shared" si="116"/>
        <v>182.228712</v>
      </c>
      <c r="F517" s="32">
        <f t="shared" si="115"/>
        <v>215.02988016</v>
      </c>
      <c r="G517" s="19">
        <f t="shared" si="117"/>
        <v>240.99747161999997</v>
      </c>
      <c r="H517" s="19">
        <f t="shared" si="119"/>
        <v>284.37701651159995</v>
      </c>
      <c r="I517" s="19">
        <f t="shared" si="120"/>
        <v>393.14447739808156</v>
      </c>
      <c r="J517" s="19">
        <f t="shared" si="121"/>
        <v>463.9104833297362</v>
      </c>
      <c r="K517" s="478">
        <f t="shared" si="118"/>
        <v>1.631322</v>
      </c>
      <c r="L517" s="479"/>
      <c r="M517" s="479"/>
      <c r="N517">
        <f t="shared" si="111"/>
        <v>231.26145729298915</v>
      </c>
    </row>
    <row r="518" spans="1:14" ht="63.75">
      <c r="A518" s="459" t="s">
        <v>3183</v>
      </c>
      <c r="B518" s="472" t="s">
        <v>3045</v>
      </c>
      <c r="C518" s="209">
        <v>5.3</v>
      </c>
      <c r="D518" s="116"/>
      <c r="E518" s="59">
        <f>C518*97.36*1.101</f>
        <v>568.1248079999999</v>
      </c>
      <c r="F518" s="32">
        <f>E518*1.18</f>
        <v>670.3872734399998</v>
      </c>
      <c r="G518" s="19">
        <v>1035.26</v>
      </c>
      <c r="H518" s="19">
        <f t="shared" si="119"/>
        <v>1221.6068</v>
      </c>
      <c r="I518" s="19">
        <f>844.14*1.1*1.1</f>
        <v>1021.4094000000002</v>
      </c>
      <c r="J518" s="19">
        <f t="shared" si="121"/>
        <v>1205.2630920000001</v>
      </c>
      <c r="K518" s="476"/>
      <c r="L518" s="477"/>
      <c r="M518" s="477"/>
      <c r="N518">
        <f t="shared" si="111"/>
        <v>192.71875471698118</v>
      </c>
    </row>
    <row r="519" spans="1:14" ht="25.5">
      <c r="A519" s="459"/>
      <c r="B519" s="472" t="s">
        <v>3184</v>
      </c>
      <c r="C519" s="209">
        <v>3.5</v>
      </c>
      <c r="D519" s="116"/>
      <c r="E519" s="59"/>
      <c r="F519" s="32"/>
      <c r="G519" s="19"/>
      <c r="H519" s="19"/>
      <c r="I519" s="19">
        <f>557.45*1.1*1.1</f>
        <v>674.5145000000001</v>
      </c>
      <c r="J519" s="19">
        <f t="shared" si="121"/>
        <v>795.9271100000001</v>
      </c>
      <c r="K519" s="476"/>
      <c r="L519" s="477"/>
      <c r="M519" s="477"/>
      <c r="N519">
        <f t="shared" si="111"/>
        <v>192.7184285714286</v>
      </c>
    </row>
    <row r="520" spans="1:14" ht="25.5">
      <c r="A520" s="459"/>
      <c r="B520" s="472" t="s">
        <v>3185</v>
      </c>
      <c r="C520" s="209">
        <v>3.8</v>
      </c>
      <c r="D520" s="116"/>
      <c r="E520" s="59"/>
      <c r="F520" s="32"/>
      <c r="G520" s="19"/>
      <c r="H520" s="19"/>
      <c r="I520" s="19">
        <f>605.23*1.1*1.1</f>
        <v>732.3283000000001</v>
      </c>
      <c r="J520" s="19">
        <f t="shared" si="121"/>
        <v>864.1473940000001</v>
      </c>
      <c r="K520" s="476"/>
      <c r="L520" s="477"/>
      <c r="M520" s="477"/>
      <c r="N520">
        <f t="shared" si="111"/>
        <v>192.71797368421056</v>
      </c>
    </row>
    <row r="521" spans="1:14" ht="25.5">
      <c r="A521" s="459"/>
      <c r="B521" s="472" t="s">
        <v>3186</v>
      </c>
      <c r="C521" s="209">
        <v>4.1</v>
      </c>
      <c r="D521" s="116"/>
      <c r="E521" s="59"/>
      <c r="F521" s="32"/>
      <c r="G521" s="19"/>
      <c r="H521" s="19"/>
      <c r="I521" s="19">
        <f>653.01*1.1*1.1</f>
        <v>790.1421000000001</v>
      </c>
      <c r="J521" s="19">
        <f t="shared" si="121"/>
        <v>932.3676780000001</v>
      </c>
      <c r="K521" s="476"/>
      <c r="L521" s="477"/>
      <c r="M521" s="477"/>
      <c r="N521">
        <f t="shared" si="111"/>
        <v>192.71758536585372</v>
      </c>
    </row>
    <row r="522" spans="1:14" ht="25.5">
      <c r="A522" s="459"/>
      <c r="B522" s="472" t="s">
        <v>3187</v>
      </c>
      <c r="C522" s="209">
        <v>4.4</v>
      </c>
      <c r="D522" s="116"/>
      <c r="E522" s="59"/>
      <c r="F522" s="32"/>
      <c r="G522" s="19"/>
      <c r="H522" s="19"/>
      <c r="I522" s="19">
        <f>700.79*1.1*1.1</f>
        <v>847.9559000000002</v>
      </c>
      <c r="J522" s="19">
        <f t="shared" si="121"/>
        <v>1000.5879620000002</v>
      </c>
      <c r="K522" s="476"/>
      <c r="L522" s="477"/>
      <c r="M522" s="477"/>
      <c r="N522">
        <f t="shared" si="111"/>
        <v>192.71725</v>
      </c>
    </row>
    <row r="523" spans="1:14" ht="25.5">
      <c r="A523" s="459"/>
      <c r="B523" s="472" t="s">
        <v>3188</v>
      </c>
      <c r="C523" s="209">
        <v>4.7</v>
      </c>
      <c r="D523" s="116"/>
      <c r="E523" s="59"/>
      <c r="F523" s="32"/>
      <c r="G523" s="19"/>
      <c r="H523" s="19"/>
      <c r="I523" s="19">
        <f>748.57*1.1*1.1</f>
        <v>905.7697000000002</v>
      </c>
      <c r="J523" s="19">
        <f t="shared" si="121"/>
        <v>1068.808246</v>
      </c>
      <c r="K523" s="476"/>
      <c r="L523" s="477"/>
      <c r="M523" s="477"/>
      <c r="N523">
        <f t="shared" si="111"/>
        <v>192.71695744680855</v>
      </c>
    </row>
    <row r="524" spans="1:14" ht="25.5">
      <c r="A524" s="459"/>
      <c r="B524" s="472" t="s">
        <v>3189</v>
      </c>
      <c r="C524" s="209">
        <v>5</v>
      </c>
      <c r="D524" s="116"/>
      <c r="E524" s="59"/>
      <c r="F524" s="32"/>
      <c r="G524" s="19"/>
      <c r="H524" s="19"/>
      <c r="I524" s="19">
        <f>796.35*1.1*1.1</f>
        <v>963.5835000000002</v>
      </c>
      <c r="J524" s="19">
        <f t="shared" si="121"/>
        <v>1137.02853</v>
      </c>
      <c r="K524" s="476"/>
      <c r="L524" s="477"/>
      <c r="M524" s="477"/>
      <c r="N524">
        <f t="shared" si="111"/>
        <v>192.71670000000003</v>
      </c>
    </row>
    <row r="525" spans="1:14" ht="25.5">
      <c r="A525" s="459" t="s">
        <v>3190</v>
      </c>
      <c r="B525" s="472" t="s">
        <v>3191</v>
      </c>
      <c r="C525" s="209">
        <v>3.8</v>
      </c>
      <c r="D525" s="116"/>
      <c r="E525" s="59">
        <f>C525*97.36*1.101</f>
        <v>407.33476799999994</v>
      </c>
      <c r="F525" s="32">
        <f>E525*1.18</f>
        <v>480.6550262399999</v>
      </c>
      <c r="G525" s="19">
        <v>1035.26</v>
      </c>
      <c r="H525" s="19">
        <f>G525*1.18</f>
        <v>1221.6068</v>
      </c>
      <c r="I525" s="19">
        <f>605.23*1.1*1.1</f>
        <v>732.3283000000001</v>
      </c>
      <c r="J525" s="19">
        <f t="shared" si="121"/>
        <v>864.1473940000001</v>
      </c>
      <c r="K525" s="489"/>
      <c r="L525" s="369"/>
      <c r="M525" s="80"/>
      <c r="N525">
        <f t="shared" si="111"/>
        <v>192.71797368421056</v>
      </c>
    </row>
    <row r="526" spans="1:14" ht="25.5">
      <c r="A526" s="459"/>
      <c r="B526" s="472" t="s">
        <v>3039</v>
      </c>
      <c r="C526" s="209">
        <v>3.5</v>
      </c>
      <c r="D526" s="116"/>
      <c r="E526" s="59"/>
      <c r="F526" s="32"/>
      <c r="G526" s="19"/>
      <c r="H526" s="19"/>
      <c r="I526" s="19">
        <f>557.45*1.1*1.1</f>
        <v>674.5145000000001</v>
      </c>
      <c r="J526" s="19">
        <f t="shared" si="121"/>
        <v>795.9271100000001</v>
      </c>
      <c r="K526" s="489">
        <f>I526*97.36*1.101</f>
        <v>72303.47562372</v>
      </c>
      <c r="L526" s="369">
        <f>K526*1.18</f>
        <v>85318.1012359896</v>
      </c>
      <c r="M526" s="80">
        <v>557.45</v>
      </c>
      <c r="N526">
        <f t="shared" si="111"/>
        <v>192.7184285714286</v>
      </c>
    </row>
    <row r="527" spans="1:14" ht="25.5">
      <c r="A527" s="473" t="s">
        <v>3192</v>
      </c>
      <c r="B527" s="472" t="s">
        <v>3193</v>
      </c>
      <c r="C527" s="209">
        <v>3.8</v>
      </c>
      <c r="D527" s="116"/>
      <c r="E527" s="59"/>
      <c r="F527" s="32"/>
      <c r="G527" s="19"/>
      <c r="H527" s="19"/>
      <c r="I527" s="19">
        <f>605.23*1.1*1.1</f>
        <v>732.3283000000001</v>
      </c>
      <c r="J527" s="19">
        <f t="shared" si="121"/>
        <v>864.1473940000001</v>
      </c>
      <c r="K527" s="60"/>
      <c r="L527" s="61"/>
      <c r="M527" s="97"/>
      <c r="N527">
        <f t="shared" si="111"/>
        <v>192.71797368421056</v>
      </c>
    </row>
    <row r="528" spans="1:14" ht="25.5">
      <c r="A528" s="459"/>
      <c r="B528" s="472" t="s">
        <v>3112</v>
      </c>
      <c r="C528" s="209">
        <v>3.5</v>
      </c>
      <c r="D528" s="116"/>
      <c r="E528" s="59"/>
      <c r="F528" s="32"/>
      <c r="G528" s="19"/>
      <c r="H528" s="19"/>
      <c r="I528" s="19">
        <f>557.45*1.1*1.1</f>
        <v>674.5145000000001</v>
      </c>
      <c r="J528" s="19">
        <f t="shared" si="121"/>
        <v>795.9271100000001</v>
      </c>
      <c r="K528" s="60"/>
      <c r="L528" s="61"/>
      <c r="M528" s="97"/>
      <c r="N528">
        <f t="shared" si="111"/>
        <v>192.7184285714286</v>
      </c>
    </row>
    <row r="529" spans="1:14" ht="12.75">
      <c r="A529" s="483" t="s">
        <v>3194</v>
      </c>
      <c r="B529" s="482" t="s">
        <v>1442</v>
      </c>
      <c r="C529" s="207">
        <v>1.2</v>
      </c>
      <c r="D529" s="484">
        <v>298.35</v>
      </c>
      <c r="E529" s="510">
        <f aca="true" t="shared" si="122" ref="E529:E535">C529*97.36*1.101</f>
        <v>128.63203199999998</v>
      </c>
      <c r="F529" s="32">
        <f aca="true" t="shared" si="123" ref="F529:F537">E529*1.18</f>
        <v>151.78579775999998</v>
      </c>
      <c r="G529" s="19">
        <f aca="true" t="shared" si="124" ref="G529:G535">E529*1.15*1.15</f>
        <v>170.11586231999993</v>
      </c>
      <c r="H529" s="19">
        <f>G529*1.18</f>
        <v>200.7367175375999</v>
      </c>
      <c r="I529" s="19">
        <f aca="true" t="shared" si="125" ref="I529:I537">G529*1.2*1.05*1.07*1.1*1.1</f>
        <v>277.513748751587</v>
      </c>
      <c r="J529" s="19">
        <f t="shared" si="121"/>
        <v>327.4662235268726</v>
      </c>
      <c r="K529" s="480">
        <f aca="true" t="shared" si="126" ref="K529:K535">I529/G529</f>
        <v>1.6313220000000004</v>
      </c>
      <c r="L529" s="3"/>
      <c r="M529" s="3"/>
      <c r="N529">
        <f aca="true" t="shared" si="127" ref="N529:N592">I529/C529</f>
        <v>231.26145729298918</v>
      </c>
    </row>
    <row r="530" spans="1:14" ht="12.75">
      <c r="A530" s="483" t="s">
        <v>3195</v>
      </c>
      <c r="B530" s="482" t="s">
        <v>1444</v>
      </c>
      <c r="C530" s="207">
        <v>1.2</v>
      </c>
      <c r="D530" s="484">
        <v>546.97</v>
      </c>
      <c r="E530" s="510">
        <f t="shared" si="122"/>
        <v>128.63203199999998</v>
      </c>
      <c r="F530" s="32">
        <f t="shared" si="123"/>
        <v>151.78579775999998</v>
      </c>
      <c r="G530" s="19">
        <f t="shared" si="124"/>
        <v>170.11586231999993</v>
      </c>
      <c r="H530" s="19">
        <f aca="true" t="shared" si="128" ref="H530:J538">G530*1.18</f>
        <v>200.7367175375999</v>
      </c>
      <c r="I530" s="19">
        <f t="shared" si="125"/>
        <v>277.513748751587</v>
      </c>
      <c r="J530" s="19">
        <f t="shared" si="121"/>
        <v>327.4662235268726</v>
      </c>
      <c r="K530" s="480">
        <f t="shared" si="126"/>
        <v>1.6313220000000004</v>
      </c>
      <c r="L530" s="3"/>
      <c r="M530" s="3"/>
      <c r="N530">
        <f t="shared" si="127"/>
        <v>231.26145729298918</v>
      </c>
    </row>
    <row r="531" spans="1:14" ht="12.75">
      <c r="A531" s="483" t="s">
        <v>3196</v>
      </c>
      <c r="B531" s="482" t="s">
        <v>428</v>
      </c>
      <c r="C531" s="207">
        <v>5.7</v>
      </c>
      <c r="D531" s="484">
        <v>298.35</v>
      </c>
      <c r="E531" s="59">
        <f>C531*97.36*1.101</f>
        <v>611.002152</v>
      </c>
      <c r="F531" s="32">
        <f t="shared" si="123"/>
        <v>720.98253936</v>
      </c>
      <c r="G531" s="19">
        <f t="shared" si="124"/>
        <v>808.0503460199999</v>
      </c>
      <c r="H531" s="19">
        <f t="shared" si="128"/>
        <v>953.4994083035998</v>
      </c>
      <c r="I531" s="19">
        <f t="shared" si="125"/>
        <v>1318.1903065700385</v>
      </c>
      <c r="J531" s="19">
        <f t="shared" si="128"/>
        <v>1555.4645617526453</v>
      </c>
      <c r="K531" s="480">
        <f t="shared" si="126"/>
        <v>1.6313220000000004</v>
      </c>
      <c r="L531" s="3"/>
      <c r="M531" s="3"/>
      <c r="N531">
        <f t="shared" si="127"/>
        <v>231.2614572929892</v>
      </c>
    </row>
    <row r="532" spans="1:14" ht="12.75">
      <c r="A532" s="483" t="s">
        <v>3197</v>
      </c>
      <c r="B532" s="482" t="s">
        <v>2602</v>
      </c>
      <c r="C532" s="485">
        <v>1.2</v>
      </c>
      <c r="D532" s="486"/>
      <c r="E532" s="487">
        <f t="shared" si="122"/>
        <v>128.63203199999998</v>
      </c>
      <c r="F532" s="83">
        <f t="shared" si="123"/>
        <v>151.78579775999998</v>
      </c>
      <c r="G532" s="19">
        <f t="shared" si="124"/>
        <v>170.11586231999993</v>
      </c>
      <c r="H532" s="86">
        <f t="shared" si="128"/>
        <v>200.7367175375999</v>
      </c>
      <c r="I532" s="19">
        <f t="shared" si="125"/>
        <v>277.513748751587</v>
      </c>
      <c r="J532" s="86">
        <f t="shared" si="128"/>
        <v>327.4662235268726</v>
      </c>
      <c r="K532" s="480">
        <f t="shared" si="126"/>
        <v>1.6313220000000004</v>
      </c>
      <c r="L532" s="3"/>
      <c r="M532" s="3"/>
      <c r="N532">
        <f t="shared" si="127"/>
        <v>231.26145729298918</v>
      </c>
    </row>
    <row r="533" spans="1:14" ht="12.75">
      <c r="A533" s="483" t="s">
        <v>3198</v>
      </c>
      <c r="B533" s="482" t="s">
        <v>1090</v>
      </c>
      <c r="C533" s="485">
        <v>1.2</v>
      </c>
      <c r="D533" s="486"/>
      <c r="E533" s="487">
        <f t="shared" si="122"/>
        <v>128.63203199999998</v>
      </c>
      <c r="F533" s="83">
        <f t="shared" si="123"/>
        <v>151.78579775999998</v>
      </c>
      <c r="G533" s="19">
        <f t="shared" si="124"/>
        <v>170.11586231999993</v>
      </c>
      <c r="H533" s="86">
        <f t="shared" si="128"/>
        <v>200.7367175375999</v>
      </c>
      <c r="I533" s="19">
        <f t="shared" si="125"/>
        <v>277.513748751587</v>
      </c>
      <c r="J533" s="86">
        <f t="shared" si="128"/>
        <v>327.4662235268726</v>
      </c>
      <c r="K533" s="480">
        <f t="shared" si="126"/>
        <v>1.6313220000000004</v>
      </c>
      <c r="L533" s="3"/>
      <c r="M533" s="3"/>
      <c r="N533">
        <f t="shared" si="127"/>
        <v>231.26145729298918</v>
      </c>
    </row>
    <row r="534" spans="1:14" ht="12.75">
      <c r="A534" s="483" t="s">
        <v>3199</v>
      </c>
      <c r="B534" s="482" t="s">
        <v>3200</v>
      </c>
      <c r="C534" s="485">
        <v>1.2</v>
      </c>
      <c r="D534" s="486"/>
      <c r="E534" s="487">
        <f>C534*97.36*1.101</f>
        <v>128.63203199999998</v>
      </c>
      <c r="F534" s="83">
        <f t="shared" si="123"/>
        <v>151.78579775999998</v>
      </c>
      <c r="G534" s="19">
        <f>E534*1.15*1.15</f>
        <v>170.11586231999993</v>
      </c>
      <c r="H534" s="86">
        <f t="shared" si="128"/>
        <v>200.7367175375999</v>
      </c>
      <c r="I534" s="19">
        <f t="shared" si="125"/>
        <v>277.513748751587</v>
      </c>
      <c r="J534" s="86">
        <f t="shared" si="128"/>
        <v>327.4662235268726</v>
      </c>
      <c r="K534" s="480">
        <f>I534/G534</f>
        <v>1.6313220000000004</v>
      </c>
      <c r="L534" s="3"/>
      <c r="M534" s="3"/>
      <c r="N534">
        <f t="shared" si="127"/>
        <v>231.26145729298918</v>
      </c>
    </row>
    <row r="535" spans="1:14" ht="12.75">
      <c r="A535" s="483" t="s">
        <v>3201</v>
      </c>
      <c r="B535" s="482" t="s">
        <v>416</v>
      </c>
      <c r="C535" s="485">
        <v>1.2</v>
      </c>
      <c r="D535" s="486"/>
      <c r="E535" s="487">
        <f t="shared" si="122"/>
        <v>128.63203199999998</v>
      </c>
      <c r="F535" s="83">
        <f t="shared" si="123"/>
        <v>151.78579775999998</v>
      </c>
      <c r="G535" s="19">
        <f t="shared" si="124"/>
        <v>170.11586231999993</v>
      </c>
      <c r="H535" s="86">
        <f t="shared" si="128"/>
        <v>200.7367175375999</v>
      </c>
      <c r="I535" s="19">
        <f t="shared" si="125"/>
        <v>277.513748751587</v>
      </c>
      <c r="J535" s="86">
        <f t="shared" si="128"/>
        <v>327.4662235268726</v>
      </c>
      <c r="K535" s="480">
        <f t="shared" si="126"/>
        <v>1.6313220000000004</v>
      </c>
      <c r="L535" s="3"/>
      <c r="M535" s="3"/>
      <c r="N535">
        <f t="shared" si="127"/>
        <v>231.26145729298918</v>
      </c>
    </row>
    <row r="536" spans="1:14" ht="12.75">
      <c r="A536" s="483" t="s">
        <v>3202</v>
      </c>
      <c r="B536" s="482" t="s">
        <v>1443</v>
      </c>
      <c r="C536" s="485">
        <v>1.2</v>
      </c>
      <c r="D536" s="486"/>
      <c r="E536" s="487">
        <f>C536*97.36*1.101</f>
        <v>128.63203199999998</v>
      </c>
      <c r="F536" s="83">
        <f t="shared" si="123"/>
        <v>151.78579775999998</v>
      </c>
      <c r="G536" s="19">
        <f>E536*1.15*1.15</f>
        <v>170.11586231999993</v>
      </c>
      <c r="H536" s="86">
        <f t="shared" si="128"/>
        <v>200.7367175375999</v>
      </c>
      <c r="I536" s="19">
        <f t="shared" si="125"/>
        <v>277.513748751587</v>
      </c>
      <c r="J536" s="86">
        <f t="shared" si="128"/>
        <v>327.4662235268726</v>
      </c>
      <c r="K536" s="480">
        <f>I536/G536</f>
        <v>1.6313220000000004</v>
      </c>
      <c r="L536" s="3"/>
      <c r="M536" s="3"/>
      <c r="N536">
        <f t="shared" si="127"/>
        <v>231.26145729298918</v>
      </c>
    </row>
    <row r="537" spans="1:14" ht="12.75">
      <c r="A537" s="483" t="s">
        <v>3203</v>
      </c>
      <c r="B537" s="482" t="s">
        <v>1089</v>
      </c>
      <c r="C537" s="485">
        <v>1.2</v>
      </c>
      <c r="D537" s="486"/>
      <c r="E537" s="487">
        <f>C537*97.36*1.101</f>
        <v>128.63203199999998</v>
      </c>
      <c r="F537" s="83">
        <f t="shared" si="123"/>
        <v>151.78579775999998</v>
      </c>
      <c r="G537" s="19">
        <f>E537*1.15*1.15</f>
        <v>170.11586231999993</v>
      </c>
      <c r="H537" s="86">
        <f t="shared" si="128"/>
        <v>200.7367175375999</v>
      </c>
      <c r="I537" s="19">
        <f t="shared" si="125"/>
        <v>277.513748751587</v>
      </c>
      <c r="J537" s="86">
        <f t="shared" si="128"/>
        <v>327.4662235268726</v>
      </c>
      <c r="K537" s="480">
        <f>I537/G537</f>
        <v>1.6313220000000004</v>
      </c>
      <c r="L537" s="3"/>
      <c r="M537" s="3"/>
      <c r="N537">
        <f t="shared" si="127"/>
        <v>231.26145729298918</v>
      </c>
    </row>
    <row r="538" spans="1:14" ht="38.25">
      <c r="A538" s="481" t="s">
        <v>3204</v>
      </c>
      <c r="B538" s="482" t="s">
        <v>3037</v>
      </c>
      <c r="C538" s="207">
        <v>3.5</v>
      </c>
      <c r="D538" s="19">
        <v>669.95</v>
      </c>
      <c r="E538" s="19">
        <v>789.36</v>
      </c>
      <c r="F538" s="32"/>
      <c r="G538" s="19"/>
      <c r="H538" s="19"/>
      <c r="I538" s="19">
        <f>668.94*1.1*1.1</f>
        <v>809.4174000000003</v>
      </c>
      <c r="J538" s="86">
        <f t="shared" si="128"/>
        <v>955.1125320000002</v>
      </c>
      <c r="K538" s="94"/>
      <c r="N538">
        <f t="shared" si="127"/>
        <v>231.26211428571438</v>
      </c>
    </row>
    <row r="539" spans="1:14" ht="12.75">
      <c r="A539" s="945" t="s">
        <v>2588</v>
      </c>
      <c r="B539" s="945"/>
      <c r="C539" s="945"/>
      <c r="D539" s="945"/>
      <c r="E539" s="945"/>
      <c r="F539" s="945"/>
      <c r="G539" s="945"/>
      <c r="H539" s="945"/>
      <c r="I539" s="945"/>
      <c r="J539" s="945"/>
      <c r="K539" s="111"/>
      <c r="L539" s="111"/>
      <c r="M539" s="111"/>
      <c r="N539" t="e">
        <f t="shared" si="127"/>
        <v>#DIV/0!</v>
      </c>
    </row>
    <row r="540" spans="1:14" ht="12.75">
      <c r="A540" s="483" t="s">
        <v>2353</v>
      </c>
      <c r="B540" s="945" t="s">
        <v>2067</v>
      </c>
      <c r="C540" s="945"/>
      <c r="D540" s="945"/>
      <c r="E540" s="945"/>
      <c r="F540" s="945"/>
      <c r="G540" s="945"/>
      <c r="H540" s="945"/>
      <c r="I540" s="945"/>
      <c r="J540" s="945"/>
      <c r="K540" s="111"/>
      <c r="L540" s="111"/>
      <c r="M540" s="111"/>
      <c r="N540" t="e">
        <f t="shared" si="127"/>
        <v>#DIV/0!</v>
      </c>
    </row>
    <row r="541" spans="1:14" ht="12.75">
      <c r="A541" s="498" t="s">
        <v>134</v>
      </c>
      <c r="B541" s="499" t="s">
        <v>1548</v>
      </c>
      <c r="C541" s="74">
        <v>0.3</v>
      </c>
      <c r="D541" s="38" t="s">
        <v>1494</v>
      </c>
      <c r="E541" s="57">
        <f>C541*97.36*1.101</f>
        <v>32.158007999999995</v>
      </c>
      <c r="F541" s="32">
        <f t="shared" si="115"/>
        <v>37.946449439999995</v>
      </c>
      <c r="G541" s="80">
        <f aca="true" t="shared" si="129" ref="G541:G629">E541*1.15*1.15</f>
        <v>42.52896557999998</v>
      </c>
      <c r="H541" s="19">
        <f>G541*1.18</f>
        <v>50.184179384399975</v>
      </c>
      <c r="I541" s="80">
        <f>G541*1.2*1.05*1.07*1.1*1.1</f>
        <v>69.37843718789675</v>
      </c>
      <c r="J541" s="19">
        <f>I541*1.18</f>
        <v>81.86655588171816</v>
      </c>
      <c r="K541" s="94">
        <f aca="true" t="shared" si="130" ref="K541:K629">I541/G541</f>
        <v>1.6313220000000004</v>
      </c>
      <c r="N541">
        <f t="shared" si="127"/>
        <v>231.26145729298918</v>
      </c>
    </row>
    <row r="542" spans="1:14" ht="12.75">
      <c r="A542" s="498" t="s">
        <v>135</v>
      </c>
      <c r="B542" s="499" t="s">
        <v>2531</v>
      </c>
      <c r="C542" s="74" t="s">
        <v>1057</v>
      </c>
      <c r="D542" s="38" t="s">
        <v>1058</v>
      </c>
      <c r="E542" s="57">
        <f>C542*97.36*1.101</f>
        <v>53.59668</v>
      </c>
      <c r="F542" s="32">
        <f t="shared" si="115"/>
        <v>63.244082399999996</v>
      </c>
      <c r="G542" s="80">
        <f t="shared" si="129"/>
        <v>70.88160929999998</v>
      </c>
      <c r="H542" s="19">
        <f>G542*1.18</f>
        <v>83.64029897399998</v>
      </c>
      <c r="I542" s="80">
        <f>G542*1.2*1.05*1.07*1.1*1.1</f>
        <v>115.63072864649459</v>
      </c>
      <c r="J542" s="19">
        <f>I542*1.18</f>
        <v>136.4442598028636</v>
      </c>
      <c r="K542" s="94">
        <f t="shared" si="130"/>
        <v>1.6313220000000004</v>
      </c>
      <c r="N542">
        <f t="shared" si="127"/>
        <v>231.26145729298918</v>
      </c>
    </row>
    <row r="543" spans="1:14" ht="12.75">
      <c r="A543" s="498" t="s">
        <v>136</v>
      </c>
      <c r="B543" s="499" t="s">
        <v>2589</v>
      </c>
      <c r="C543" s="74" t="s">
        <v>1057</v>
      </c>
      <c r="D543" s="38" t="s">
        <v>1058</v>
      </c>
      <c r="E543" s="57">
        <f>C543*97.36*1.101</f>
        <v>53.59668</v>
      </c>
      <c r="F543" s="32">
        <f t="shared" si="115"/>
        <v>63.244082399999996</v>
      </c>
      <c r="G543" s="80">
        <f t="shared" si="129"/>
        <v>70.88160929999998</v>
      </c>
      <c r="H543" s="19">
        <f>G543*1.18</f>
        <v>83.64029897399998</v>
      </c>
      <c r="I543" s="80">
        <f>G543*1.2*1.05*1.07*1.1*1.1</f>
        <v>115.63072864649459</v>
      </c>
      <c r="J543" s="19">
        <f>I543*1.18</f>
        <v>136.4442598028636</v>
      </c>
      <c r="K543" s="94">
        <f t="shared" si="130"/>
        <v>1.6313220000000004</v>
      </c>
      <c r="N543">
        <f t="shared" si="127"/>
        <v>231.26145729298918</v>
      </c>
    </row>
    <row r="544" spans="1:14" ht="25.5">
      <c r="A544" s="498" t="s">
        <v>137</v>
      </c>
      <c r="B544" s="499" t="s">
        <v>706</v>
      </c>
      <c r="C544" s="74">
        <v>3.5</v>
      </c>
      <c r="D544" s="38" t="s">
        <v>1539</v>
      </c>
      <c r="E544" s="57">
        <f>C544*97.36*1.101</f>
        <v>375.17676</v>
      </c>
      <c r="F544" s="32">
        <f t="shared" si="115"/>
        <v>442.7085768</v>
      </c>
      <c r="G544" s="80">
        <f t="shared" si="129"/>
        <v>496.1712650999999</v>
      </c>
      <c r="H544" s="19">
        <f>G544*1.18</f>
        <v>585.4820928179998</v>
      </c>
      <c r="I544" s="80">
        <f>G544*1.2*1.05*1.07*1.1*1.1</f>
        <v>809.4151005254622</v>
      </c>
      <c r="J544" s="19">
        <f>I544*1.18</f>
        <v>955.1098186200453</v>
      </c>
      <c r="K544" s="94">
        <f t="shared" si="130"/>
        <v>1.6313220000000004</v>
      </c>
      <c r="N544">
        <f t="shared" si="127"/>
        <v>231.2614572929892</v>
      </c>
    </row>
    <row r="545" spans="1:14" ht="63.75">
      <c r="A545" s="459" t="s">
        <v>3205</v>
      </c>
      <c r="B545" s="472" t="s">
        <v>3045</v>
      </c>
      <c r="C545" s="209">
        <v>5.3</v>
      </c>
      <c r="D545" s="116"/>
      <c r="E545" s="59">
        <f>C545*97.36*1.101</f>
        <v>568.1248079999999</v>
      </c>
      <c r="F545" s="32">
        <f>E545*1.18</f>
        <v>670.3872734399998</v>
      </c>
      <c r="G545" s="19">
        <v>1035.26</v>
      </c>
      <c r="H545" s="19">
        <f>G545*1.18</f>
        <v>1221.6068</v>
      </c>
      <c r="I545" s="19">
        <f>844.14*1.1*1.1</f>
        <v>1021.4094000000002</v>
      </c>
      <c r="J545" s="19">
        <f>I545*1.18</f>
        <v>1205.2630920000001</v>
      </c>
      <c r="K545" s="476"/>
      <c r="L545" s="477"/>
      <c r="M545" s="477"/>
      <c r="N545">
        <f t="shared" si="127"/>
        <v>192.71875471698118</v>
      </c>
    </row>
    <row r="546" spans="1:14" ht="25.5">
      <c r="A546" s="459"/>
      <c r="B546" s="472" t="s">
        <v>3206</v>
      </c>
      <c r="C546" s="209">
        <v>3.5</v>
      </c>
      <c r="D546" s="116"/>
      <c r="E546" s="59"/>
      <c r="F546" s="32"/>
      <c r="G546" s="19"/>
      <c r="H546" s="19"/>
      <c r="I546" s="19">
        <f>557.45*1.1*1.1</f>
        <v>674.5145000000001</v>
      </c>
      <c r="J546" s="19">
        <f aca="true" t="shared" si="131" ref="J546:J573">I546*1.18</f>
        <v>795.9271100000001</v>
      </c>
      <c r="K546" s="476"/>
      <c r="L546" s="477"/>
      <c r="M546" s="477"/>
      <c r="N546">
        <f t="shared" si="127"/>
        <v>192.7184285714286</v>
      </c>
    </row>
    <row r="547" spans="1:14" ht="25.5">
      <c r="A547" s="459"/>
      <c r="B547" s="472" t="s">
        <v>3207</v>
      </c>
      <c r="C547" s="209">
        <v>3.8</v>
      </c>
      <c r="D547" s="116"/>
      <c r="E547" s="59"/>
      <c r="F547" s="32"/>
      <c r="G547" s="19"/>
      <c r="H547" s="19"/>
      <c r="I547" s="19">
        <f>605.23*1.1*1.1</f>
        <v>732.3283000000001</v>
      </c>
      <c r="J547" s="19">
        <f t="shared" si="131"/>
        <v>864.1473940000001</v>
      </c>
      <c r="K547" s="476"/>
      <c r="L547" s="477"/>
      <c r="M547" s="477"/>
      <c r="N547">
        <f t="shared" si="127"/>
        <v>192.71797368421056</v>
      </c>
    </row>
    <row r="548" spans="1:14" ht="25.5">
      <c r="A548" s="459"/>
      <c r="B548" s="472" t="s">
        <v>3208</v>
      </c>
      <c r="C548" s="209">
        <v>4.1</v>
      </c>
      <c r="D548" s="116"/>
      <c r="E548" s="59"/>
      <c r="F548" s="32"/>
      <c r="G548" s="19"/>
      <c r="H548" s="19"/>
      <c r="I548" s="19">
        <f>653.01*1.1*1.1</f>
        <v>790.1421000000001</v>
      </c>
      <c r="J548" s="19">
        <f t="shared" si="131"/>
        <v>932.3676780000001</v>
      </c>
      <c r="K548" s="476"/>
      <c r="L548" s="477"/>
      <c r="M548" s="477"/>
      <c r="N548">
        <f t="shared" si="127"/>
        <v>192.71758536585372</v>
      </c>
    </row>
    <row r="549" spans="1:14" ht="25.5">
      <c r="A549" s="459"/>
      <c r="B549" s="472" t="s">
        <v>3209</v>
      </c>
      <c r="C549" s="209">
        <v>4.4</v>
      </c>
      <c r="D549" s="116"/>
      <c r="E549" s="59"/>
      <c r="F549" s="32"/>
      <c r="G549" s="19"/>
      <c r="H549" s="19"/>
      <c r="I549" s="19">
        <f>700.79*1.1*1.1</f>
        <v>847.9559000000002</v>
      </c>
      <c r="J549" s="19">
        <f t="shared" si="131"/>
        <v>1000.5879620000002</v>
      </c>
      <c r="K549" s="476"/>
      <c r="L549" s="477"/>
      <c r="M549" s="477"/>
      <c r="N549">
        <f t="shared" si="127"/>
        <v>192.71725</v>
      </c>
    </row>
    <row r="550" spans="1:14" ht="25.5">
      <c r="A550" s="459"/>
      <c r="B550" s="472" t="s">
        <v>3210</v>
      </c>
      <c r="C550" s="209">
        <v>4.7</v>
      </c>
      <c r="D550" s="116"/>
      <c r="E550" s="59"/>
      <c r="F550" s="32"/>
      <c r="G550" s="19"/>
      <c r="H550" s="19"/>
      <c r="I550" s="19">
        <f>748.57*1.1*1.1</f>
        <v>905.7697000000002</v>
      </c>
      <c r="J550" s="19">
        <f t="shared" si="131"/>
        <v>1068.808246</v>
      </c>
      <c r="K550" s="476"/>
      <c r="L550" s="477"/>
      <c r="M550" s="477"/>
      <c r="N550">
        <f t="shared" si="127"/>
        <v>192.71695744680855</v>
      </c>
    </row>
    <row r="551" spans="1:14" ht="25.5">
      <c r="A551" s="459"/>
      <c r="B551" s="472" t="s">
        <v>3211</v>
      </c>
      <c r="C551" s="209">
        <v>5</v>
      </c>
      <c r="D551" s="116"/>
      <c r="E551" s="59"/>
      <c r="F551" s="32"/>
      <c r="G551" s="19"/>
      <c r="H551" s="19"/>
      <c r="I551" s="19">
        <f>796.35*1.1*1.1</f>
        <v>963.5835000000002</v>
      </c>
      <c r="J551" s="19">
        <f t="shared" si="131"/>
        <v>1137.02853</v>
      </c>
      <c r="K551" s="476"/>
      <c r="L551" s="477"/>
      <c r="M551" s="477"/>
      <c r="N551">
        <f t="shared" si="127"/>
        <v>192.71670000000003</v>
      </c>
    </row>
    <row r="552" spans="1:14" ht="51">
      <c r="A552" s="473" t="s">
        <v>3212</v>
      </c>
      <c r="B552" s="472" t="s">
        <v>3213</v>
      </c>
      <c r="C552" s="209">
        <v>4.7</v>
      </c>
      <c r="D552" s="116"/>
      <c r="E552" s="59"/>
      <c r="F552" s="32"/>
      <c r="G552" s="19"/>
      <c r="H552" s="19"/>
      <c r="I552" s="19">
        <f>748.57*1.1*1.1</f>
        <v>905.7697000000002</v>
      </c>
      <c r="J552" s="19">
        <f t="shared" si="131"/>
        <v>1068.808246</v>
      </c>
      <c r="K552" s="60"/>
      <c r="L552" s="61"/>
      <c r="M552" s="97"/>
      <c r="N552">
        <f t="shared" si="127"/>
        <v>192.71695744680855</v>
      </c>
    </row>
    <row r="553" spans="1:14" ht="25.5">
      <c r="A553" s="459"/>
      <c r="B553" s="472" t="s">
        <v>3214</v>
      </c>
      <c r="C553" s="209">
        <v>3.5</v>
      </c>
      <c r="D553" s="116"/>
      <c r="E553" s="59"/>
      <c r="F553" s="32"/>
      <c r="G553" s="19"/>
      <c r="H553" s="19"/>
      <c r="I553" s="19">
        <f>557.45*1.1*1.1</f>
        <v>674.5145000000001</v>
      </c>
      <c r="J553" s="19">
        <f t="shared" si="131"/>
        <v>795.9271100000001</v>
      </c>
      <c r="K553" s="60"/>
      <c r="L553" s="61"/>
      <c r="M553" s="97"/>
      <c r="N553">
        <f t="shared" si="127"/>
        <v>192.7184285714286</v>
      </c>
    </row>
    <row r="554" spans="1:14" ht="25.5">
      <c r="A554" s="459"/>
      <c r="B554" s="472" t="s">
        <v>3215</v>
      </c>
      <c r="C554" s="209">
        <v>3.8</v>
      </c>
      <c r="D554" s="116"/>
      <c r="E554" s="59"/>
      <c r="F554" s="32"/>
      <c r="G554" s="19"/>
      <c r="H554" s="19"/>
      <c r="I554" s="19">
        <f>605.23*1.1*1.1</f>
        <v>732.3283000000001</v>
      </c>
      <c r="J554" s="19">
        <f t="shared" si="131"/>
        <v>864.1473940000001</v>
      </c>
      <c r="K554" s="60"/>
      <c r="L554" s="61"/>
      <c r="M554" s="97"/>
      <c r="N554">
        <f t="shared" si="127"/>
        <v>192.71797368421056</v>
      </c>
    </row>
    <row r="555" spans="1:14" ht="25.5">
      <c r="A555" s="459"/>
      <c r="B555" s="472" t="s">
        <v>3216</v>
      </c>
      <c r="C555" s="209">
        <v>4.1</v>
      </c>
      <c r="D555" s="116"/>
      <c r="E555" s="59"/>
      <c r="F555" s="32"/>
      <c r="G555" s="19"/>
      <c r="H555" s="19"/>
      <c r="I555" s="19">
        <f>653.01*1.1*1.1</f>
        <v>790.1421000000001</v>
      </c>
      <c r="J555" s="19">
        <f t="shared" si="131"/>
        <v>932.3676780000001</v>
      </c>
      <c r="K555" s="60"/>
      <c r="L555" s="61"/>
      <c r="M555" s="97"/>
      <c r="N555">
        <f t="shared" si="127"/>
        <v>192.71758536585372</v>
      </c>
    </row>
    <row r="556" spans="1:14" ht="25.5">
      <c r="A556" s="459"/>
      <c r="B556" s="472" t="s">
        <v>3217</v>
      </c>
      <c r="C556" s="209">
        <v>4.4</v>
      </c>
      <c r="D556" s="116"/>
      <c r="E556" s="59"/>
      <c r="F556" s="32"/>
      <c r="G556" s="19"/>
      <c r="H556" s="19"/>
      <c r="I556" s="19">
        <f>700.79*1.1*1.1</f>
        <v>847.9559000000002</v>
      </c>
      <c r="J556" s="19">
        <f t="shared" si="131"/>
        <v>1000.5879620000002</v>
      </c>
      <c r="K556" s="60"/>
      <c r="L556" s="61"/>
      <c r="M556" s="97"/>
      <c r="N556">
        <f t="shared" si="127"/>
        <v>192.71725</v>
      </c>
    </row>
    <row r="557" spans="1:14" ht="51">
      <c r="A557" s="459" t="s">
        <v>3218</v>
      </c>
      <c r="B557" s="472" t="s">
        <v>3219</v>
      </c>
      <c r="C557" s="209">
        <v>5.3</v>
      </c>
      <c r="D557" s="116"/>
      <c r="E557" s="59">
        <f>C557*97.36*1.101</f>
        <v>568.1248079999999</v>
      </c>
      <c r="F557" s="32">
        <f>E557*1.18</f>
        <v>670.3872734399998</v>
      </c>
      <c r="G557" s="19">
        <v>1035.26</v>
      </c>
      <c r="H557" s="19">
        <f>G557*1.18</f>
        <v>1221.6068</v>
      </c>
      <c r="I557" s="19">
        <f>844.14*1.1*1.1</f>
        <v>1021.4094000000002</v>
      </c>
      <c r="J557" s="19">
        <f t="shared" si="131"/>
        <v>1205.2630920000001</v>
      </c>
      <c r="K557" s="489"/>
      <c r="L557" s="369"/>
      <c r="M557" s="80"/>
      <c r="N557">
        <f t="shared" si="127"/>
        <v>192.71875471698118</v>
      </c>
    </row>
    <row r="558" spans="1:14" ht="25.5">
      <c r="A558" s="459"/>
      <c r="B558" s="472" t="s">
        <v>3220</v>
      </c>
      <c r="C558" s="209">
        <v>3.5</v>
      </c>
      <c r="D558" s="116"/>
      <c r="E558" s="59"/>
      <c r="F558" s="32"/>
      <c r="G558" s="19"/>
      <c r="H558" s="19"/>
      <c r="I558" s="19">
        <f>557.45*1.1*1.1</f>
        <v>674.5145000000001</v>
      </c>
      <c r="J558" s="19">
        <f t="shared" si="131"/>
        <v>795.9271100000001</v>
      </c>
      <c r="K558" s="489">
        <f>I558*97.36*1.101</f>
        <v>72303.47562372</v>
      </c>
      <c r="L558" s="369">
        <f>K558*1.18</f>
        <v>85318.1012359896</v>
      </c>
      <c r="M558" s="80">
        <v>557.45</v>
      </c>
      <c r="N558">
        <f t="shared" si="127"/>
        <v>192.7184285714286</v>
      </c>
    </row>
    <row r="559" spans="1:14" ht="25.5">
      <c r="A559" s="459"/>
      <c r="B559" s="472" t="s">
        <v>3221</v>
      </c>
      <c r="C559" s="209">
        <v>3.8</v>
      </c>
      <c r="D559" s="116"/>
      <c r="E559" s="59"/>
      <c r="F559" s="32"/>
      <c r="G559" s="19"/>
      <c r="H559" s="19"/>
      <c r="I559" s="19">
        <f>605.23*1.1*1.1</f>
        <v>732.3283000000001</v>
      </c>
      <c r="J559" s="19">
        <f t="shared" si="131"/>
        <v>864.1473940000001</v>
      </c>
      <c r="K559" s="489">
        <f>I559*97.36*1.101</f>
        <v>78500.73110008801</v>
      </c>
      <c r="L559" s="369">
        <f>K559*1.18</f>
        <v>92630.86269810385</v>
      </c>
      <c r="M559" s="80">
        <v>605.23</v>
      </c>
      <c r="N559">
        <f t="shared" si="127"/>
        <v>192.71797368421056</v>
      </c>
    </row>
    <row r="560" spans="1:14" ht="25.5">
      <c r="A560" s="459"/>
      <c r="B560" s="472" t="s">
        <v>3222</v>
      </c>
      <c r="C560" s="209">
        <v>4.1</v>
      </c>
      <c r="D560" s="116"/>
      <c r="E560" s="59"/>
      <c r="F560" s="32"/>
      <c r="G560" s="19"/>
      <c r="H560" s="19"/>
      <c r="I560" s="19">
        <f>653.01*1.1*1.1</f>
        <v>790.1421000000001</v>
      </c>
      <c r="J560" s="19">
        <f t="shared" si="131"/>
        <v>932.3676780000001</v>
      </c>
      <c r="K560" s="489">
        <f>I560*97.36*1.101</f>
        <v>84697.98657645601</v>
      </c>
      <c r="L560" s="369">
        <f>K560*1.18</f>
        <v>99943.62416021808</v>
      </c>
      <c r="M560" s="80">
        <v>653.01</v>
      </c>
      <c r="N560">
        <f t="shared" si="127"/>
        <v>192.71758536585372</v>
      </c>
    </row>
    <row r="561" spans="1:14" ht="25.5">
      <c r="A561" s="459"/>
      <c r="B561" s="472" t="s">
        <v>3223</v>
      </c>
      <c r="C561" s="209">
        <v>4.4</v>
      </c>
      <c r="D561" s="116"/>
      <c r="E561" s="59"/>
      <c r="F561" s="32"/>
      <c r="G561" s="19"/>
      <c r="H561" s="19"/>
      <c r="I561" s="19">
        <f>700.79*1.1*1.1</f>
        <v>847.9559000000002</v>
      </c>
      <c r="J561" s="19">
        <f t="shared" si="131"/>
        <v>1000.5879620000002</v>
      </c>
      <c r="K561" s="489">
        <f>I561*97.36*1.101</f>
        <v>90895.24205282402</v>
      </c>
      <c r="L561" s="369">
        <f>K561*1.18</f>
        <v>107256.38562233234</v>
      </c>
      <c r="M561" s="80">
        <v>700.79</v>
      </c>
      <c r="N561">
        <f t="shared" si="127"/>
        <v>192.71725</v>
      </c>
    </row>
    <row r="562" spans="1:14" ht="25.5">
      <c r="A562" s="459"/>
      <c r="B562" s="472" t="s">
        <v>3224</v>
      </c>
      <c r="C562" s="209">
        <v>4.7</v>
      </c>
      <c r="D562" s="116"/>
      <c r="E562" s="59"/>
      <c r="F562" s="32"/>
      <c r="G562" s="19"/>
      <c r="H562" s="19"/>
      <c r="I562" s="19">
        <f>748.57*1.1*1.1</f>
        <v>905.7697000000002</v>
      </c>
      <c r="J562" s="19">
        <f t="shared" si="131"/>
        <v>1068.808246</v>
      </c>
      <c r="K562" s="489">
        <f>I562*97.36*1.101</f>
        <v>97092.49752919201</v>
      </c>
      <c r="L562" s="369">
        <f>K562*1.18</f>
        <v>114569.14708444657</v>
      </c>
      <c r="M562" s="80">
        <v>748.57</v>
      </c>
      <c r="N562">
        <f t="shared" si="127"/>
        <v>192.71695744680855</v>
      </c>
    </row>
    <row r="563" spans="1:14" ht="12.75">
      <c r="A563" s="481" t="s">
        <v>3225</v>
      </c>
      <c r="B563" s="482" t="s">
        <v>2525</v>
      </c>
      <c r="C563" s="209">
        <v>1.7</v>
      </c>
      <c r="D563" s="474" t="s">
        <v>2393</v>
      </c>
      <c r="E563" s="59">
        <f>C563*97.36*1.101</f>
        <v>182.228712</v>
      </c>
      <c r="F563" s="32">
        <f t="shared" si="115"/>
        <v>215.02988016</v>
      </c>
      <c r="G563" s="19">
        <f aca="true" t="shared" si="132" ref="G563:G572">E563*1.15*1.15</f>
        <v>240.99747161999997</v>
      </c>
      <c r="H563" s="19">
        <f aca="true" t="shared" si="133" ref="H563:H572">G563*1.18</f>
        <v>284.37701651159995</v>
      </c>
      <c r="I563" s="19">
        <f aca="true" t="shared" si="134" ref="I563:I572">G563*1.2*1.05*1.07*1.1*1.1</f>
        <v>393.14447739808156</v>
      </c>
      <c r="J563" s="19">
        <f t="shared" si="131"/>
        <v>463.9104833297362</v>
      </c>
      <c r="K563" s="478">
        <f aca="true" t="shared" si="135" ref="K563:K572">I563/G563</f>
        <v>1.631322</v>
      </c>
      <c r="L563" s="479"/>
      <c r="M563" s="479"/>
      <c r="N563">
        <f t="shared" si="127"/>
        <v>231.26145729298915</v>
      </c>
    </row>
    <row r="564" spans="1:14" ht="12.75">
      <c r="A564" s="481" t="s">
        <v>3226</v>
      </c>
      <c r="B564" s="482" t="s">
        <v>3171</v>
      </c>
      <c r="C564" s="209">
        <v>1.7</v>
      </c>
      <c r="D564" s="474" t="s">
        <v>2393</v>
      </c>
      <c r="E564" s="59">
        <f>C564*97.36*1.101</f>
        <v>182.228712</v>
      </c>
      <c r="F564" s="32">
        <f t="shared" si="115"/>
        <v>215.02988016</v>
      </c>
      <c r="G564" s="19">
        <f t="shared" si="132"/>
        <v>240.99747161999997</v>
      </c>
      <c r="H564" s="19">
        <f t="shared" si="133"/>
        <v>284.37701651159995</v>
      </c>
      <c r="I564" s="19">
        <f t="shared" si="134"/>
        <v>393.14447739808156</v>
      </c>
      <c r="J564" s="19">
        <f t="shared" si="131"/>
        <v>463.9104833297362</v>
      </c>
      <c r="K564" s="478">
        <f t="shared" si="135"/>
        <v>1.631322</v>
      </c>
      <c r="L564" s="479"/>
      <c r="M564" s="479"/>
      <c r="N564">
        <f t="shared" si="127"/>
        <v>231.26145729298915</v>
      </c>
    </row>
    <row r="565" spans="1:14" ht="12.75">
      <c r="A565" s="483" t="s">
        <v>3227</v>
      </c>
      <c r="B565" s="482" t="s">
        <v>1444</v>
      </c>
      <c r="C565" s="207">
        <v>1.2</v>
      </c>
      <c r="D565" s="484">
        <v>546.97</v>
      </c>
      <c r="E565" s="510">
        <f>C565*97.36*1.101</f>
        <v>128.63203199999998</v>
      </c>
      <c r="F565" s="32">
        <f t="shared" si="115"/>
        <v>151.78579775999998</v>
      </c>
      <c r="G565" s="19">
        <f t="shared" si="132"/>
        <v>170.11586231999993</v>
      </c>
      <c r="H565" s="19">
        <f t="shared" si="133"/>
        <v>200.7367175375999</v>
      </c>
      <c r="I565" s="19">
        <f t="shared" si="134"/>
        <v>277.513748751587</v>
      </c>
      <c r="J565" s="19">
        <f t="shared" si="131"/>
        <v>327.4662235268726</v>
      </c>
      <c r="K565" s="480">
        <f t="shared" si="135"/>
        <v>1.6313220000000004</v>
      </c>
      <c r="L565" s="3"/>
      <c r="M565" s="3"/>
      <c r="N565">
        <f t="shared" si="127"/>
        <v>231.26145729298918</v>
      </c>
    </row>
    <row r="566" spans="1:14" ht="12.75">
      <c r="A566" s="483" t="s">
        <v>3228</v>
      </c>
      <c r="B566" s="482" t="s">
        <v>428</v>
      </c>
      <c r="C566" s="207">
        <v>5.7</v>
      </c>
      <c r="D566" s="484">
        <v>298.35</v>
      </c>
      <c r="E566" s="59">
        <f>C566*97.36*1.101</f>
        <v>611.002152</v>
      </c>
      <c r="F566" s="32">
        <f t="shared" si="115"/>
        <v>720.98253936</v>
      </c>
      <c r="G566" s="19">
        <f t="shared" si="132"/>
        <v>808.0503460199999</v>
      </c>
      <c r="H566" s="19">
        <f t="shared" si="133"/>
        <v>953.4994083035998</v>
      </c>
      <c r="I566" s="19">
        <f t="shared" si="134"/>
        <v>1318.1903065700385</v>
      </c>
      <c r="J566" s="19">
        <f t="shared" si="131"/>
        <v>1555.4645617526453</v>
      </c>
      <c r="K566" s="480">
        <f t="shared" si="135"/>
        <v>1.6313220000000004</v>
      </c>
      <c r="L566" s="3"/>
      <c r="M566" s="3"/>
      <c r="N566">
        <f t="shared" si="127"/>
        <v>231.2614572929892</v>
      </c>
    </row>
    <row r="567" spans="1:14" ht="12.75">
      <c r="A567" s="483" t="s">
        <v>3229</v>
      </c>
      <c r="B567" s="482" t="s">
        <v>3230</v>
      </c>
      <c r="C567" s="485">
        <v>1.2</v>
      </c>
      <c r="D567" s="486"/>
      <c r="E567" s="487">
        <f aca="true" t="shared" si="136" ref="E567:E572">C567*97.36*1.101</f>
        <v>128.63203199999998</v>
      </c>
      <c r="F567" s="83">
        <f t="shared" si="115"/>
        <v>151.78579775999998</v>
      </c>
      <c r="G567" s="19">
        <f t="shared" si="132"/>
        <v>170.11586231999993</v>
      </c>
      <c r="H567" s="86">
        <f t="shared" si="133"/>
        <v>200.7367175375999</v>
      </c>
      <c r="I567" s="19">
        <f t="shared" si="134"/>
        <v>277.513748751587</v>
      </c>
      <c r="J567" s="86">
        <f t="shared" si="131"/>
        <v>327.4662235268726</v>
      </c>
      <c r="K567" s="480">
        <f t="shared" si="135"/>
        <v>1.6313220000000004</v>
      </c>
      <c r="L567" s="3"/>
      <c r="M567" s="3"/>
      <c r="N567">
        <f t="shared" si="127"/>
        <v>231.26145729298918</v>
      </c>
    </row>
    <row r="568" spans="1:14" ht="12.75">
      <c r="A568" s="483" t="s">
        <v>3231</v>
      </c>
      <c r="B568" s="482" t="s">
        <v>1090</v>
      </c>
      <c r="C568" s="485">
        <v>1.2</v>
      </c>
      <c r="D568" s="486"/>
      <c r="E568" s="487">
        <f t="shared" si="136"/>
        <v>128.63203199999998</v>
      </c>
      <c r="F568" s="83">
        <f t="shared" si="115"/>
        <v>151.78579775999998</v>
      </c>
      <c r="G568" s="19">
        <f t="shared" si="132"/>
        <v>170.11586231999993</v>
      </c>
      <c r="H568" s="86">
        <f t="shared" si="133"/>
        <v>200.7367175375999</v>
      </c>
      <c r="I568" s="19">
        <f t="shared" si="134"/>
        <v>277.513748751587</v>
      </c>
      <c r="J568" s="86">
        <f t="shared" si="131"/>
        <v>327.4662235268726</v>
      </c>
      <c r="K568" s="480">
        <f t="shared" si="135"/>
        <v>1.6313220000000004</v>
      </c>
      <c r="L568" s="3"/>
      <c r="M568" s="3"/>
      <c r="N568">
        <f t="shared" si="127"/>
        <v>231.26145729298918</v>
      </c>
    </row>
    <row r="569" spans="1:14" ht="12.75">
      <c r="A569" s="483" t="s">
        <v>3232</v>
      </c>
      <c r="B569" s="482" t="s">
        <v>3200</v>
      </c>
      <c r="C569" s="485">
        <v>1.2</v>
      </c>
      <c r="D569" s="486"/>
      <c r="E569" s="487">
        <f t="shared" si="136"/>
        <v>128.63203199999998</v>
      </c>
      <c r="F569" s="83">
        <f t="shared" si="115"/>
        <v>151.78579775999998</v>
      </c>
      <c r="G569" s="19">
        <f t="shared" si="132"/>
        <v>170.11586231999993</v>
      </c>
      <c r="H569" s="86">
        <f t="shared" si="133"/>
        <v>200.7367175375999</v>
      </c>
      <c r="I569" s="19">
        <f t="shared" si="134"/>
        <v>277.513748751587</v>
      </c>
      <c r="J569" s="86">
        <f t="shared" si="131"/>
        <v>327.4662235268726</v>
      </c>
      <c r="K569" s="480">
        <f t="shared" si="135"/>
        <v>1.6313220000000004</v>
      </c>
      <c r="L569" s="3"/>
      <c r="M569" s="3"/>
      <c r="N569">
        <f t="shared" si="127"/>
        <v>231.26145729298918</v>
      </c>
    </row>
    <row r="570" spans="1:14" ht="12.75">
      <c r="A570" s="483" t="s">
        <v>3233</v>
      </c>
      <c r="B570" s="482" t="s">
        <v>416</v>
      </c>
      <c r="C570" s="485">
        <v>1.2</v>
      </c>
      <c r="D570" s="486"/>
      <c r="E570" s="487">
        <f t="shared" si="136"/>
        <v>128.63203199999998</v>
      </c>
      <c r="F570" s="83">
        <f t="shared" si="115"/>
        <v>151.78579775999998</v>
      </c>
      <c r="G570" s="19">
        <f t="shared" si="132"/>
        <v>170.11586231999993</v>
      </c>
      <c r="H570" s="86">
        <f t="shared" si="133"/>
        <v>200.7367175375999</v>
      </c>
      <c r="I570" s="19">
        <f t="shared" si="134"/>
        <v>277.513748751587</v>
      </c>
      <c r="J570" s="86">
        <f t="shared" si="131"/>
        <v>327.4662235268726</v>
      </c>
      <c r="K570" s="480">
        <f t="shared" si="135"/>
        <v>1.6313220000000004</v>
      </c>
      <c r="L570" s="3"/>
      <c r="M570" s="3"/>
      <c r="N570">
        <f t="shared" si="127"/>
        <v>231.26145729298918</v>
      </c>
    </row>
    <row r="571" spans="1:14" ht="12.75">
      <c r="A571" s="483" t="s">
        <v>3234</v>
      </c>
      <c r="B571" s="482" t="s">
        <v>1443</v>
      </c>
      <c r="C571" s="485">
        <v>1.2</v>
      </c>
      <c r="D571" s="486"/>
      <c r="E571" s="487">
        <f t="shared" si="136"/>
        <v>128.63203199999998</v>
      </c>
      <c r="F571" s="83">
        <f t="shared" si="115"/>
        <v>151.78579775999998</v>
      </c>
      <c r="G571" s="19">
        <f t="shared" si="132"/>
        <v>170.11586231999993</v>
      </c>
      <c r="H571" s="86">
        <f t="shared" si="133"/>
        <v>200.7367175375999</v>
      </c>
      <c r="I571" s="19">
        <f t="shared" si="134"/>
        <v>277.513748751587</v>
      </c>
      <c r="J571" s="86">
        <f t="shared" si="131"/>
        <v>327.4662235268726</v>
      </c>
      <c r="K571" s="480">
        <f t="shared" si="135"/>
        <v>1.6313220000000004</v>
      </c>
      <c r="L571" s="3"/>
      <c r="M571" s="3"/>
      <c r="N571">
        <f t="shared" si="127"/>
        <v>231.26145729298918</v>
      </c>
    </row>
    <row r="572" spans="1:14" ht="12.75">
      <c r="A572" s="483" t="s">
        <v>3235</v>
      </c>
      <c r="B572" s="482" t="s">
        <v>1089</v>
      </c>
      <c r="C572" s="485">
        <v>1.2</v>
      </c>
      <c r="D572" s="486"/>
      <c r="E572" s="487">
        <f t="shared" si="136"/>
        <v>128.63203199999998</v>
      </c>
      <c r="F572" s="83">
        <f t="shared" si="115"/>
        <v>151.78579775999998</v>
      </c>
      <c r="G572" s="19">
        <f t="shared" si="132"/>
        <v>170.11586231999993</v>
      </c>
      <c r="H572" s="86">
        <f t="shared" si="133"/>
        <v>200.7367175375999</v>
      </c>
      <c r="I572" s="19">
        <f t="shared" si="134"/>
        <v>277.513748751587</v>
      </c>
      <c r="J572" s="86">
        <f t="shared" si="131"/>
        <v>327.4662235268726</v>
      </c>
      <c r="K572" s="480">
        <f t="shared" si="135"/>
        <v>1.6313220000000004</v>
      </c>
      <c r="L572" s="3"/>
      <c r="M572" s="3"/>
      <c r="N572">
        <f t="shared" si="127"/>
        <v>231.26145729298918</v>
      </c>
    </row>
    <row r="573" spans="1:14" ht="38.25">
      <c r="A573" s="481" t="s">
        <v>3236</v>
      </c>
      <c r="B573" s="482" t="s">
        <v>3037</v>
      </c>
      <c r="C573" s="207">
        <v>3.5</v>
      </c>
      <c r="D573" s="19">
        <v>669.95</v>
      </c>
      <c r="E573" s="19">
        <v>789.36</v>
      </c>
      <c r="F573" s="32"/>
      <c r="G573" s="19"/>
      <c r="H573" s="19"/>
      <c r="I573" s="19">
        <f>668.94*1.1*1.1</f>
        <v>809.4174000000003</v>
      </c>
      <c r="J573" s="86">
        <f t="shared" si="131"/>
        <v>955.1125320000002</v>
      </c>
      <c r="K573" s="94"/>
      <c r="N573">
        <f t="shared" si="127"/>
        <v>231.26211428571438</v>
      </c>
    </row>
    <row r="574" spans="1:14" ht="12.75">
      <c r="A574" s="459" t="s">
        <v>3237</v>
      </c>
      <c r="B574" s="482" t="s">
        <v>700</v>
      </c>
      <c r="C574" s="209">
        <v>2.5</v>
      </c>
      <c r="D574" s="474">
        <v>248.63</v>
      </c>
      <c r="E574" s="59">
        <f>C574*97.36*1.101</f>
        <v>267.9834</v>
      </c>
      <c r="F574" s="32">
        <f>E574*1.18</f>
        <v>316.220412</v>
      </c>
      <c r="G574" s="19">
        <f>E574*1.15*1.15</f>
        <v>354.40804649999995</v>
      </c>
      <c r="H574" s="19">
        <f>G574*1.18</f>
        <v>418.2014948699999</v>
      </c>
      <c r="I574" s="19">
        <f>G574*1.2*1.05*1.07*1.1*1.1</f>
        <v>578.1536432324731</v>
      </c>
      <c r="J574" s="19">
        <f>I574*1.18</f>
        <v>682.2212990143182</v>
      </c>
      <c r="K574" s="488"/>
      <c r="L574" s="61"/>
      <c r="M574" s="98"/>
      <c r="N574">
        <f t="shared" si="127"/>
        <v>231.26145729298923</v>
      </c>
    </row>
    <row r="575" spans="1:14" ht="12.75">
      <c r="A575" s="483" t="s">
        <v>138</v>
      </c>
      <c r="B575" s="945" t="s">
        <v>450</v>
      </c>
      <c r="C575" s="945"/>
      <c r="D575" s="945"/>
      <c r="E575" s="945"/>
      <c r="F575" s="945"/>
      <c r="G575" s="945"/>
      <c r="H575" s="945"/>
      <c r="I575" s="945"/>
      <c r="J575" s="945"/>
      <c r="K575" s="111"/>
      <c r="L575" s="111"/>
      <c r="M575" s="111"/>
      <c r="N575" t="e">
        <f t="shared" si="127"/>
        <v>#DIV/0!</v>
      </c>
    </row>
    <row r="576" spans="1:14" ht="12.75">
      <c r="A576" s="498" t="s">
        <v>139</v>
      </c>
      <c r="B576" s="499" t="s">
        <v>1548</v>
      </c>
      <c r="C576" s="74">
        <v>0.3</v>
      </c>
      <c r="D576" s="38" t="s">
        <v>1055</v>
      </c>
      <c r="E576" s="57">
        <f>C576*97.36*1.101</f>
        <v>32.158007999999995</v>
      </c>
      <c r="F576" s="32">
        <f t="shared" si="115"/>
        <v>37.946449439999995</v>
      </c>
      <c r="G576" s="80">
        <f t="shared" si="129"/>
        <v>42.52896557999998</v>
      </c>
      <c r="H576" s="19">
        <f>G576*1.18</f>
        <v>50.184179384399975</v>
      </c>
      <c r="I576" s="80">
        <f>G576*1.2*1.05*1.07*1.1*1.1</f>
        <v>69.37843718789675</v>
      </c>
      <c r="J576" s="19">
        <f>I576*1.18</f>
        <v>81.86655588171816</v>
      </c>
      <c r="K576" s="94">
        <f t="shared" si="130"/>
        <v>1.6313220000000004</v>
      </c>
      <c r="N576">
        <f t="shared" si="127"/>
        <v>231.26145729298918</v>
      </c>
    </row>
    <row r="577" spans="1:14" ht="12.75">
      <c r="A577" s="498" t="s">
        <v>140</v>
      </c>
      <c r="B577" s="499" t="s">
        <v>2531</v>
      </c>
      <c r="C577" s="74" t="s">
        <v>1057</v>
      </c>
      <c r="D577" s="38" t="s">
        <v>1058</v>
      </c>
      <c r="E577" s="57">
        <f>C577*97.36*1.101</f>
        <v>53.59668</v>
      </c>
      <c r="F577" s="32">
        <f t="shared" si="115"/>
        <v>63.244082399999996</v>
      </c>
      <c r="G577" s="80">
        <f t="shared" si="129"/>
        <v>70.88160929999998</v>
      </c>
      <c r="H577" s="19">
        <f>G577*1.18</f>
        <v>83.64029897399998</v>
      </c>
      <c r="I577" s="80">
        <f>G577*1.2*1.05*1.07*1.1*1.1</f>
        <v>115.63072864649459</v>
      </c>
      <c r="J577" s="19">
        <f>I577*1.18</f>
        <v>136.4442598028636</v>
      </c>
      <c r="K577" s="94">
        <f t="shared" si="130"/>
        <v>1.6313220000000004</v>
      </c>
      <c r="N577">
        <f t="shared" si="127"/>
        <v>231.26145729298918</v>
      </c>
    </row>
    <row r="578" spans="1:14" ht="12.75">
      <c r="A578" s="498" t="s">
        <v>141</v>
      </c>
      <c r="B578" s="499" t="s">
        <v>1540</v>
      </c>
      <c r="C578" s="74" t="s">
        <v>1057</v>
      </c>
      <c r="D578" s="38" t="s">
        <v>1058</v>
      </c>
      <c r="E578" s="57">
        <f>C578*97.36*1.101</f>
        <v>53.59668</v>
      </c>
      <c r="F578" s="32">
        <f t="shared" si="115"/>
        <v>63.244082399999996</v>
      </c>
      <c r="G578" s="80">
        <f t="shared" si="129"/>
        <v>70.88160929999998</v>
      </c>
      <c r="H578" s="19">
        <f>G578*1.18</f>
        <v>83.64029897399998</v>
      </c>
      <c r="I578" s="80">
        <f>G578*1.2*1.05*1.07*1.1*1.1</f>
        <v>115.63072864649459</v>
      </c>
      <c r="J578" s="19">
        <f>I578*1.18</f>
        <v>136.4442598028636</v>
      </c>
      <c r="K578" s="94">
        <f t="shared" si="130"/>
        <v>1.6313220000000004</v>
      </c>
      <c r="N578">
        <f t="shared" si="127"/>
        <v>231.26145729298918</v>
      </c>
    </row>
    <row r="579" spans="1:14" ht="12.75">
      <c r="A579" s="498" t="s">
        <v>142</v>
      </c>
      <c r="B579" s="499" t="s">
        <v>2559</v>
      </c>
      <c r="C579" s="74">
        <v>1.5</v>
      </c>
      <c r="D579" s="38" t="s">
        <v>2393</v>
      </c>
      <c r="E579" s="57">
        <f>C579*97.36*1.101</f>
        <v>160.79003999999998</v>
      </c>
      <c r="F579" s="32">
        <f t="shared" si="115"/>
        <v>189.73224719999996</v>
      </c>
      <c r="G579" s="80">
        <f t="shared" si="129"/>
        <v>212.6448278999999</v>
      </c>
      <c r="H579" s="19">
        <f>G579*1.18</f>
        <v>250.92089692199988</v>
      </c>
      <c r="I579" s="80">
        <f>G579*1.2*1.05*1.07*1.1*1.1</f>
        <v>346.89218593948374</v>
      </c>
      <c r="J579" s="19">
        <f>I579*1.18</f>
        <v>409.3327794085908</v>
      </c>
      <c r="K579" s="94">
        <f t="shared" si="130"/>
        <v>1.6313220000000004</v>
      </c>
      <c r="N579">
        <f t="shared" si="127"/>
        <v>231.26145729298915</v>
      </c>
    </row>
    <row r="580" spans="1:14" ht="12.75">
      <c r="A580" s="498" t="s">
        <v>143</v>
      </c>
      <c r="B580" s="499" t="s">
        <v>451</v>
      </c>
      <c r="C580" s="74">
        <v>3.5</v>
      </c>
      <c r="D580" s="38" t="s">
        <v>1539</v>
      </c>
      <c r="E580" s="57">
        <f>C580*97.36*1.101</f>
        <v>375.17676</v>
      </c>
      <c r="F580" s="32">
        <f t="shared" si="115"/>
        <v>442.7085768</v>
      </c>
      <c r="G580" s="80">
        <f t="shared" si="129"/>
        <v>496.1712650999999</v>
      </c>
      <c r="H580" s="19">
        <f>G580*1.18</f>
        <v>585.4820928179998</v>
      </c>
      <c r="I580" s="80">
        <f>G580*1.2*1.05*1.07*1.1*1.1</f>
        <v>809.4151005254622</v>
      </c>
      <c r="J580" s="19">
        <f>I580*1.18</f>
        <v>955.1098186200453</v>
      </c>
      <c r="K580" s="94">
        <f t="shared" si="130"/>
        <v>1.6313220000000004</v>
      </c>
      <c r="N580">
        <f t="shared" si="127"/>
        <v>231.2614572929892</v>
      </c>
    </row>
    <row r="581" spans="1:14" ht="12.75">
      <c r="A581" s="483" t="s">
        <v>144</v>
      </c>
      <c r="B581" s="945" t="s">
        <v>452</v>
      </c>
      <c r="C581" s="945"/>
      <c r="D581" s="945"/>
      <c r="E581" s="945"/>
      <c r="F581" s="945"/>
      <c r="G581" s="945"/>
      <c r="H581" s="945"/>
      <c r="I581" s="945"/>
      <c r="J581" s="945"/>
      <c r="K581" s="111"/>
      <c r="L581" s="111"/>
      <c r="M581" s="111"/>
      <c r="N581" t="e">
        <f t="shared" si="127"/>
        <v>#DIV/0!</v>
      </c>
    </row>
    <row r="582" spans="1:14" ht="12.75">
      <c r="A582" s="498" t="s">
        <v>145</v>
      </c>
      <c r="B582" s="499" t="s">
        <v>1548</v>
      </c>
      <c r="C582" s="74">
        <v>0.3</v>
      </c>
      <c r="D582" s="38" t="s">
        <v>1055</v>
      </c>
      <c r="E582" s="57">
        <f aca="true" t="shared" si="137" ref="E582:E629">C582*97.36*1.101</f>
        <v>32.158007999999995</v>
      </c>
      <c r="F582" s="32">
        <f t="shared" si="115"/>
        <v>37.946449439999995</v>
      </c>
      <c r="G582" s="80">
        <f t="shared" si="129"/>
        <v>42.52896557999998</v>
      </c>
      <c r="H582" s="19">
        <f>G582*1.18</f>
        <v>50.184179384399975</v>
      </c>
      <c r="I582" s="80">
        <f>G582*1.2*1.05*1.07*1.1*1.1</f>
        <v>69.37843718789675</v>
      </c>
      <c r="J582" s="19">
        <f aca="true" t="shared" si="138" ref="J582:J587">I582*1.18</f>
        <v>81.86655588171816</v>
      </c>
      <c r="K582" s="94">
        <f t="shared" si="130"/>
        <v>1.6313220000000004</v>
      </c>
      <c r="N582">
        <f t="shared" si="127"/>
        <v>231.26145729298918</v>
      </c>
    </row>
    <row r="583" spans="1:14" ht="12.75">
      <c r="A583" s="498" t="s">
        <v>146</v>
      </c>
      <c r="B583" s="499" t="s">
        <v>2531</v>
      </c>
      <c r="C583" s="74" t="s">
        <v>1057</v>
      </c>
      <c r="D583" s="38" t="s">
        <v>1058</v>
      </c>
      <c r="E583" s="57">
        <f t="shared" si="137"/>
        <v>53.59668</v>
      </c>
      <c r="F583" s="32">
        <f t="shared" si="115"/>
        <v>63.244082399999996</v>
      </c>
      <c r="G583" s="80">
        <f t="shared" si="129"/>
        <v>70.88160929999998</v>
      </c>
      <c r="H583" s="19">
        <f>G583*1.18</f>
        <v>83.64029897399998</v>
      </c>
      <c r="I583" s="80">
        <f>G583*1.2*1.05*1.07*1.1*1.1</f>
        <v>115.63072864649459</v>
      </c>
      <c r="J583" s="19">
        <f t="shared" si="138"/>
        <v>136.4442598028636</v>
      </c>
      <c r="K583" s="94">
        <f t="shared" si="130"/>
        <v>1.6313220000000004</v>
      </c>
      <c r="N583">
        <f t="shared" si="127"/>
        <v>231.26145729298918</v>
      </c>
    </row>
    <row r="584" spans="1:14" ht="12.75">
      <c r="A584" s="498" t="s">
        <v>147</v>
      </c>
      <c r="B584" s="499" t="s">
        <v>1540</v>
      </c>
      <c r="C584" s="74" t="s">
        <v>1057</v>
      </c>
      <c r="D584" s="38" t="s">
        <v>1058</v>
      </c>
      <c r="E584" s="57">
        <f t="shared" si="137"/>
        <v>53.59668</v>
      </c>
      <c r="F584" s="32">
        <f t="shared" si="115"/>
        <v>63.244082399999996</v>
      </c>
      <c r="G584" s="80">
        <f t="shared" si="129"/>
        <v>70.88160929999998</v>
      </c>
      <c r="H584" s="19">
        <f>G584*1.18</f>
        <v>83.64029897399998</v>
      </c>
      <c r="I584" s="80">
        <f>G584*1.2*1.05*1.07*1.1*1.1</f>
        <v>115.63072864649459</v>
      </c>
      <c r="J584" s="19">
        <f t="shared" si="138"/>
        <v>136.4442598028636</v>
      </c>
      <c r="K584" s="94">
        <f t="shared" si="130"/>
        <v>1.6313220000000004</v>
      </c>
      <c r="N584">
        <f t="shared" si="127"/>
        <v>231.26145729298918</v>
      </c>
    </row>
    <row r="585" spans="1:14" ht="12.75">
      <c r="A585" s="498" t="s">
        <v>148</v>
      </c>
      <c r="B585" s="499" t="s">
        <v>453</v>
      </c>
      <c r="C585" s="74">
        <v>0.5</v>
      </c>
      <c r="D585" s="38" t="s">
        <v>1055</v>
      </c>
      <c r="E585" s="57">
        <f t="shared" si="137"/>
        <v>53.59668</v>
      </c>
      <c r="F585" s="32">
        <f t="shared" si="115"/>
        <v>63.244082399999996</v>
      </c>
      <c r="G585" s="80">
        <f t="shared" si="129"/>
        <v>70.88160929999998</v>
      </c>
      <c r="H585" s="19">
        <f>G585*1.18</f>
        <v>83.64029897399998</v>
      </c>
      <c r="I585" s="80">
        <f>G585*1.2*1.05*1.07*1.1*1.1</f>
        <v>115.63072864649459</v>
      </c>
      <c r="J585" s="19">
        <f t="shared" si="138"/>
        <v>136.4442598028636</v>
      </c>
      <c r="K585" s="94">
        <f t="shared" si="130"/>
        <v>1.6313220000000004</v>
      </c>
      <c r="N585">
        <f t="shared" si="127"/>
        <v>231.26145729298918</v>
      </c>
    </row>
    <row r="586" spans="1:14" ht="25.5">
      <c r="A586" s="509" t="s">
        <v>149</v>
      </c>
      <c r="B586" s="499" t="s">
        <v>706</v>
      </c>
      <c r="C586" s="74">
        <v>3.5</v>
      </c>
      <c r="D586" s="38" t="s">
        <v>1539</v>
      </c>
      <c r="E586" s="57">
        <f t="shared" si="137"/>
        <v>375.17676</v>
      </c>
      <c r="F586" s="32">
        <f t="shared" si="115"/>
        <v>442.7085768</v>
      </c>
      <c r="G586" s="80">
        <f t="shared" si="129"/>
        <v>496.1712650999999</v>
      </c>
      <c r="H586" s="19">
        <f>G586*1.18</f>
        <v>585.4820928179998</v>
      </c>
      <c r="I586" s="80">
        <f>G586*1.2*1.05*1.07*1.1*1.1</f>
        <v>809.4151005254622</v>
      </c>
      <c r="J586" s="19">
        <f t="shared" si="138"/>
        <v>955.1098186200453</v>
      </c>
      <c r="K586" s="94">
        <f t="shared" si="130"/>
        <v>1.6313220000000004</v>
      </c>
      <c r="N586">
        <f t="shared" si="127"/>
        <v>231.2614572929892</v>
      </c>
    </row>
    <row r="587" spans="1:14" ht="38.25">
      <c r="A587" s="481" t="s">
        <v>3238</v>
      </c>
      <c r="B587" s="482" t="s">
        <v>3037</v>
      </c>
      <c r="C587" s="207">
        <v>3.5</v>
      </c>
      <c r="D587" s="19">
        <v>669.95</v>
      </c>
      <c r="E587" s="19">
        <v>789.36</v>
      </c>
      <c r="F587" s="32"/>
      <c r="G587" s="19"/>
      <c r="H587" s="19"/>
      <c r="I587" s="19">
        <f>668.94*1.1*1.1</f>
        <v>809.4174000000003</v>
      </c>
      <c r="J587" s="19">
        <f t="shared" si="138"/>
        <v>955.1125320000002</v>
      </c>
      <c r="K587" s="94"/>
      <c r="N587">
        <f t="shared" si="127"/>
        <v>231.26211428571438</v>
      </c>
    </row>
    <row r="588" spans="1:14" ht="12.75">
      <c r="A588" s="483" t="s">
        <v>150</v>
      </c>
      <c r="B588" s="945" t="s">
        <v>454</v>
      </c>
      <c r="C588" s="945"/>
      <c r="D588" s="945"/>
      <c r="E588" s="945"/>
      <c r="F588" s="945"/>
      <c r="G588" s="945"/>
      <c r="H588" s="945"/>
      <c r="I588" s="945"/>
      <c r="J588" s="945"/>
      <c r="K588" s="111"/>
      <c r="L588" s="111"/>
      <c r="M588" s="111"/>
      <c r="N588" t="e">
        <f t="shared" si="127"/>
        <v>#DIV/0!</v>
      </c>
    </row>
    <row r="589" spans="1:14" ht="12.75">
      <c r="A589" s="498" t="s">
        <v>151</v>
      </c>
      <c r="B589" s="499" t="s">
        <v>1548</v>
      </c>
      <c r="C589" s="74">
        <v>0.3</v>
      </c>
      <c r="D589" s="38" t="s">
        <v>1494</v>
      </c>
      <c r="E589" s="57">
        <f t="shared" si="137"/>
        <v>32.158007999999995</v>
      </c>
      <c r="F589" s="32">
        <f t="shared" si="115"/>
        <v>37.946449439999995</v>
      </c>
      <c r="G589" s="80">
        <f t="shared" si="129"/>
        <v>42.52896557999998</v>
      </c>
      <c r="H589" s="19">
        <f>G589*1.18</f>
        <v>50.184179384399975</v>
      </c>
      <c r="I589" s="80">
        <f>G589*1.2*1.05*1.07*1.1*1.1</f>
        <v>69.37843718789675</v>
      </c>
      <c r="J589" s="19">
        <f>I589*1.18</f>
        <v>81.86655588171816</v>
      </c>
      <c r="K589" s="94">
        <f t="shared" si="130"/>
        <v>1.6313220000000004</v>
      </c>
      <c r="N589">
        <f t="shared" si="127"/>
        <v>231.26145729298918</v>
      </c>
    </row>
    <row r="590" spans="1:14" ht="12.75">
      <c r="A590" s="498" t="s">
        <v>152</v>
      </c>
      <c r="B590" s="499" t="s">
        <v>2531</v>
      </c>
      <c r="C590" s="74" t="s">
        <v>1057</v>
      </c>
      <c r="D590" s="38" t="s">
        <v>1058</v>
      </c>
      <c r="E590" s="57">
        <f t="shared" si="137"/>
        <v>53.59668</v>
      </c>
      <c r="F590" s="32">
        <f t="shared" si="115"/>
        <v>63.244082399999996</v>
      </c>
      <c r="G590" s="80">
        <f t="shared" si="129"/>
        <v>70.88160929999998</v>
      </c>
      <c r="H590" s="19">
        <f>G590*1.18</f>
        <v>83.64029897399998</v>
      </c>
      <c r="I590" s="80">
        <f>G590*1.2*1.05*1.07*1.1*1.1</f>
        <v>115.63072864649459</v>
      </c>
      <c r="J590" s="19">
        <f>I590*1.18</f>
        <v>136.4442598028636</v>
      </c>
      <c r="K590" s="94">
        <f t="shared" si="130"/>
        <v>1.6313220000000004</v>
      </c>
      <c r="N590">
        <f t="shared" si="127"/>
        <v>231.26145729298918</v>
      </c>
    </row>
    <row r="591" spans="1:14" ht="12.75">
      <c r="A591" s="498" t="s">
        <v>153</v>
      </c>
      <c r="B591" s="499" t="s">
        <v>1540</v>
      </c>
      <c r="C591" s="74" t="s">
        <v>1057</v>
      </c>
      <c r="D591" s="38" t="s">
        <v>1058</v>
      </c>
      <c r="E591" s="57">
        <f t="shared" si="137"/>
        <v>53.59668</v>
      </c>
      <c r="F591" s="32">
        <f t="shared" si="115"/>
        <v>63.244082399999996</v>
      </c>
      <c r="G591" s="80">
        <f t="shared" si="129"/>
        <v>70.88160929999998</v>
      </c>
      <c r="H591" s="19">
        <f>G591*1.18</f>
        <v>83.64029897399998</v>
      </c>
      <c r="I591" s="80">
        <f>G591*1.2*1.05*1.07*1.1*1.1</f>
        <v>115.63072864649459</v>
      </c>
      <c r="J591" s="19">
        <f>I591*1.18</f>
        <v>136.4442598028636</v>
      </c>
      <c r="K591" s="94">
        <f t="shared" si="130"/>
        <v>1.6313220000000004</v>
      </c>
      <c r="N591">
        <f t="shared" si="127"/>
        <v>231.26145729298918</v>
      </c>
    </row>
    <row r="592" spans="1:14" ht="25.5">
      <c r="A592" s="498" t="s">
        <v>154</v>
      </c>
      <c r="B592" s="499" t="s">
        <v>706</v>
      </c>
      <c r="C592" s="74">
        <v>3.5</v>
      </c>
      <c r="D592" s="38" t="s">
        <v>1539</v>
      </c>
      <c r="E592" s="57">
        <f t="shared" si="137"/>
        <v>375.17676</v>
      </c>
      <c r="F592" s="32">
        <f t="shared" si="115"/>
        <v>442.7085768</v>
      </c>
      <c r="G592" s="80">
        <f t="shared" si="129"/>
        <v>496.1712650999999</v>
      </c>
      <c r="H592" s="19">
        <f>G592*1.18</f>
        <v>585.4820928179998</v>
      </c>
      <c r="I592" s="80">
        <f>G592*1.2*1.05*1.07*1.1*1.1</f>
        <v>809.4151005254622</v>
      </c>
      <c r="J592" s="19">
        <f>I592*1.18</f>
        <v>955.1098186200453</v>
      </c>
      <c r="K592" s="94">
        <f t="shared" si="130"/>
        <v>1.6313220000000004</v>
      </c>
      <c r="N592">
        <f t="shared" si="127"/>
        <v>231.2614572929892</v>
      </c>
    </row>
    <row r="593" spans="1:14" ht="38.25">
      <c r="A593" s="481" t="s">
        <v>3239</v>
      </c>
      <c r="B593" s="482" t="s">
        <v>3037</v>
      </c>
      <c r="C593" s="207">
        <v>3.5</v>
      </c>
      <c r="D593" s="19">
        <v>669.95</v>
      </c>
      <c r="E593" s="19">
        <v>789.36</v>
      </c>
      <c r="F593" s="32"/>
      <c r="G593" s="19"/>
      <c r="H593" s="19"/>
      <c r="I593" s="19">
        <f>668.94*1.1*1.1</f>
        <v>809.4174000000003</v>
      </c>
      <c r="J593" s="19">
        <f>I593*1.18</f>
        <v>955.1125320000002</v>
      </c>
      <c r="K593" s="94"/>
      <c r="N593">
        <f aca="true" t="shared" si="139" ref="N593:N656">I593/C593</f>
        <v>231.26211428571438</v>
      </c>
    </row>
    <row r="594" spans="1:14" ht="12.75">
      <c r="A594" s="483" t="s">
        <v>155</v>
      </c>
      <c r="B594" s="947" t="s">
        <v>1298</v>
      </c>
      <c r="C594" s="947"/>
      <c r="D594" s="947"/>
      <c r="E594" s="947"/>
      <c r="F594" s="947"/>
      <c r="G594" s="947"/>
      <c r="H594" s="947"/>
      <c r="I594" s="947"/>
      <c r="J594" s="947"/>
      <c r="K594" s="111"/>
      <c r="L594" s="111"/>
      <c r="M594" s="111"/>
      <c r="N594" t="e">
        <f t="shared" si="139"/>
        <v>#DIV/0!</v>
      </c>
    </row>
    <row r="595" spans="1:14" ht="12.75">
      <c r="A595" s="498" t="s">
        <v>156</v>
      </c>
      <c r="B595" s="499" t="s">
        <v>1548</v>
      </c>
      <c r="C595" s="74">
        <v>0.3</v>
      </c>
      <c r="D595" s="38" t="s">
        <v>1494</v>
      </c>
      <c r="E595" s="57">
        <f t="shared" si="137"/>
        <v>32.158007999999995</v>
      </c>
      <c r="F595" s="32">
        <f t="shared" si="115"/>
        <v>37.946449439999995</v>
      </c>
      <c r="G595" s="80">
        <f t="shared" si="129"/>
        <v>42.52896557999998</v>
      </c>
      <c r="H595" s="19">
        <f aca="true" t="shared" si="140" ref="H595:H603">G595*1.18</f>
        <v>50.184179384399975</v>
      </c>
      <c r="I595" s="80">
        <f aca="true" t="shared" si="141" ref="I595:I603">G595*1.2*1.05*1.07*1.1*1.1</f>
        <v>69.37843718789675</v>
      </c>
      <c r="J595" s="19">
        <f aca="true" t="shared" si="142" ref="J595:J604">I595*1.18</f>
        <v>81.86655588171816</v>
      </c>
      <c r="K595" s="94">
        <f t="shared" si="130"/>
        <v>1.6313220000000004</v>
      </c>
      <c r="N595">
        <f t="shared" si="139"/>
        <v>231.26145729298918</v>
      </c>
    </row>
    <row r="596" spans="1:14" ht="12.75">
      <c r="A596" s="498" t="s">
        <v>157</v>
      </c>
      <c r="B596" s="499" t="s">
        <v>2531</v>
      </c>
      <c r="C596" s="74">
        <v>0.5</v>
      </c>
      <c r="D596" s="38" t="s">
        <v>1055</v>
      </c>
      <c r="E596" s="57">
        <f t="shared" si="137"/>
        <v>53.59668</v>
      </c>
      <c r="F596" s="32">
        <f t="shared" si="115"/>
        <v>63.244082399999996</v>
      </c>
      <c r="G596" s="80">
        <f t="shared" si="129"/>
        <v>70.88160929999998</v>
      </c>
      <c r="H596" s="19">
        <f t="shared" si="140"/>
        <v>83.64029897399998</v>
      </c>
      <c r="I596" s="80">
        <f t="shared" si="141"/>
        <v>115.63072864649459</v>
      </c>
      <c r="J596" s="19">
        <f t="shared" si="142"/>
        <v>136.4442598028636</v>
      </c>
      <c r="K596" s="94">
        <f t="shared" si="130"/>
        <v>1.6313220000000004</v>
      </c>
      <c r="N596">
        <f t="shared" si="139"/>
        <v>231.26145729298918</v>
      </c>
    </row>
    <row r="597" spans="1:14" ht="12.75">
      <c r="A597" s="498" t="s">
        <v>158</v>
      </c>
      <c r="B597" s="499" t="s">
        <v>1540</v>
      </c>
      <c r="C597" s="74" t="s">
        <v>1057</v>
      </c>
      <c r="D597" s="38" t="s">
        <v>1058</v>
      </c>
      <c r="E597" s="57">
        <f t="shared" si="137"/>
        <v>53.59668</v>
      </c>
      <c r="F597" s="32">
        <f t="shared" si="115"/>
        <v>63.244082399999996</v>
      </c>
      <c r="G597" s="80">
        <f t="shared" si="129"/>
        <v>70.88160929999998</v>
      </c>
      <c r="H597" s="19">
        <f t="shared" si="140"/>
        <v>83.64029897399998</v>
      </c>
      <c r="I597" s="80">
        <f t="shared" si="141"/>
        <v>115.63072864649459</v>
      </c>
      <c r="J597" s="19">
        <f t="shared" si="142"/>
        <v>136.4442598028636</v>
      </c>
      <c r="K597" s="94">
        <f t="shared" si="130"/>
        <v>1.6313220000000004</v>
      </c>
      <c r="N597">
        <f t="shared" si="139"/>
        <v>231.26145729298918</v>
      </c>
    </row>
    <row r="598" spans="1:14" ht="25.5">
      <c r="A598" s="498" t="s">
        <v>159</v>
      </c>
      <c r="B598" s="499" t="s">
        <v>706</v>
      </c>
      <c r="C598" s="74">
        <v>3.5</v>
      </c>
      <c r="D598" s="38" t="s">
        <v>1539</v>
      </c>
      <c r="E598" s="57">
        <f t="shared" si="137"/>
        <v>375.17676</v>
      </c>
      <c r="F598" s="32">
        <f t="shared" si="115"/>
        <v>442.7085768</v>
      </c>
      <c r="G598" s="80">
        <f t="shared" si="129"/>
        <v>496.1712650999999</v>
      </c>
      <c r="H598" s="19">
        <f t="shared" si="140"/>
        <v>585.4820928179998</v>
      </c>
      <c r="I598" s="80">
        <f t="shared" si="141"/>
        <v>809.4151005254622</v>
      </c>
      <c r="J598" s="19">
        <f t="shared" si="142"/>
        <v>955.1098186200453</v>
      </c>
      <c r="K598" s="94">
        <f t="shared" si="130"/>
        <v>1.6313220000000004</v>
      </c>
      <c r="N598">
        <f t="shared" si="139"/>
        <v>231.2614572929892</v>
      </c>
    </row>
    <row r="599" spans="1:14" ht="12.75">
      <c r="A599" s="498" t="s">
        <v>160</v>
      </c>
      <c r="B599" s="499" t="s">
        <v>798</v>
      </c>
      <c r="C599" s="74">
        <v>2</v>
      </c>
      <c r="D599" s="38" t="s">
        <v>2393</v>
      </c>
      <c r="E599" s="57">
        <f t="shared" si="137"/>
        <v>214.38672</v>
      </c>
      <c r="F599" s="32">
        <f t="shared" si="115"/>
        <v>252.97632959999999</v>
      </c>
      <c r="G599" s="80">
        <f t="shared" si="129"/>
        <v>283.5264371999999</v>
      </c>
      <c r="H599" s="19">
        <f t="shared" si="140"/>
        <v>334.5611958959999</v>
      </c>
      <c r="I599" s="80">
        <f t="shared" si="141"/>
        <v>462.52291458597836</v>
      </c>
      <c r="J599" s="19">
        <f t="shared" si="142"/>
        <v>545.7770392114544</v>
      </c>
      <c r="K599" s="94">
        <f t="shared" si="130"/>
        <v>1.6313220000000004</v>
      </c>
      <c r="N599">
        <f t="shared" si="139"/>
        <v>231.26145729298918</v>
      </c>
    </row>
    <row r="600" spans="1:14" ht="12.75">
      <c r="A600" s="498" t="s">
        <v>161</v>
      </c>
      <c r="B600" s="499" t="s">
        <v>1064</v>
      </c>
      <c r="C600" s="74" t="s">
        <v>2318</v>
      </c>
      <c r="D600" s="38" t="s">
        <v>2319</v>
      </c>
      <c r="E600" s="57">
        <f t="shared" si="137"/>
        <v>375.17676</v>
      </c>
      <c r="F600" s="32">
        <f t="shared" si="115"/>
        <v>442.7085768</v>
      </c>
      <c r="G600" s="80">
        <f t="shared" si="129"/>
        <v>496.1712650999999</v>
      </c>
      <c r="H600" s="19">
        <f t="shared" si="140"/>
        <v>585.4820928179998</v>
      </c>
      <c r="I600" s="80">
        <f t="shared" si="141"/>
        <v>809.4151005254622</v>
      </c>
      <c r="J600" s="19">
        <f t="shared" si="142"/>
        <v>955.1098186200453</v>
      </c>
      <c r="K600" s="94">
        <f t="shared" si="130"/>
        <v>1.6313220000000004</v>
      </c>
      <c r="N600">
        <f t="shared" si="139"/>
        <v>231.2614572929892</v>
      </c>
    </row>
    <row r="601" spans="1:14" ht="12.75">
      <c r="A601" s="498" t="s">
        <v>162</v>
      </c>
      <c r="B601" s="499" t="s">
        <v>1299</v>
      </c>
      <c r="C601" s="74" t="s">
        <v>2371</v>
      </c>
      <c r="D601" s="38" t="s">
        <v>2372</v>
      </c>
      <c r="E601" s="57">
        <f t="shared" si="137"/>
        <v>85.754688</v>
      </c>
      <c r="F601" s="32">
        <f t="shared" si="115"/>
        <v>101.19053183999999</v>
      </c>
      <c r="G601" s="80">
        <f t="shared" si="129"/>
        <v>113.41057487999998</v>
      </c>
      <c r="H601" s="19">
        <f t="shared" si="140"/>
        <v>133.82447835839997</v>
      </c>
      <c r="I601" s="80">
        <f t="shared" si="141"/>
        <v>185.00916583439135</v>
      </c>
      <c r="J601" s="19">
        <f t="shared" si="142"/>
        <v>218.3108156845818</v>
      </c>
      <c r="K601" s="94">
        <f t="shared" si="130"/>
        <v>1.6313220000000002</v>
      </c>
      <c r="N601">
        <f t="shared" si="139"/>
        <v>231.26145729298918</v>
      </c>
    </row>
    <row r="602" spans="1:14" ht="12.75">
      <c r="A602" s="498" t="s">
        <v>163</v>
      </c>
      <c r="B602" s="499" t="s">
        <v>1300</v>
      </c>
      <c r="C602" s="74" t="s">
        <v>2508</v>
      </c>
      <c r="D602" s="38" t="s">
        <v>2509</v>
      </c>
      <c r="E602" s="57">
        <f t="shared" si="137"/>
        <v>214.38672</v>
      </c>
      <c r="F602" s="32">
        <f t="shared" si="115"/>
        <v>252.97632959999999</v>
      </c>
      <c r="G602" s="80">
        <f t="shared" si="129"/>
        <v>283.5264371999999</v>
      </c>
      <c r="H602" s="19">
        <f t="shared" si="140"/>
        <v>334.5611958959999</v>
      </c>
      <c r="I602" s="80">
        <f t="shared" si="141"/>
        <v>462.52291458597836</v>
      </c>
      <c r="J602" s="19">
        <f t="shared" si="142"/>
        <v>545.7770392114544</v>
      </c>
      <c r="K602" s="94">
        <f t="shared" si="130"/>
        <v>1.6313220000000004</v>
      </c>
      <c r="N602">
        <f t="shared" si="139"/>
        <v>231.26145729298918</v>
      </c>
    </row>
    <row r="603" spans="1:14" ht="12.75">
      <c r="A603" s="498" t="s">
        <v>164</v>
      </c>
      <c r="B603" s="499" t="s">
        <v>1031</v>
      </c>
      <c r="C603" s="74">
        <v>2</v>
      </c>
      <c r="D603" s="38" t="s">
        <v>2393</v>
      </c>
      <c r="E603" s="57">
        <f t="shared" si="137"/>
        <v>214.38672</v>
      </c>
      <c r="F603" s="32">
        <f t="shared" si="115"/>
        <v>252.97632959999999</v>
      </c>
      <c r="G603" s="80">
        <f t="shared" si="129"/>
        <v>283.5264371999999</v>
      </c>
      <c r="H603" s="19">
        <f t="shared" si="140"/>
        <v>334.5611958959999</v>
      </c>
      <c r="I603" s="80">
        <f t="shared" si="141"/>
        <v>462.52291458597836</v>
      </c>
      <c r="J603" s="19">
        <f t="shared" si="142"/>
        <v>545.7770392114544</v>
      </c>
      <c r="K603" s="94">
        <f t="shared" si="130"/>
        <v>1.6313220000000004</v>
      </c>
      <c r="N603">
        <f t="shared" si="139"/>
        <v>231.26145729298918</v>
      </c>
    </row>
    <row r="604" spans="1:14" ht="38.25">
      <c r="A604" s="481" t="s">
        <v>165</v>
      </c>
      <c r="B604" s="482" t="s">
        <v>3037</v>
      </c>
      <c r="C604" s="207">
        <v>3.5</v>
      </c>
      <c r="D604" s="19">
        <v>669.95</v>
      </c>
      <c r="E604" s="19">
        <v>789.36</v>
      </c>
      <c r="F604" s="32"/>
      <c r="G604" s="19"/>
      <c r="H604" s="19"/>
      <c r="I604" s="19">
        <f>668.94*1.1*1.1</f>
        <v>809.4174000000003</v>
      </c>
      <c r="J604" s="19">
        <f t="shared" si="142"/>
        <v>955.1125320000002</v>
      </c>
      <c r="K604" s="94"/>
      <c r="N604">
        <f t="shared" si="139"/>
        <v>231.26211428571438</v>
      </c>
    </row>
    <row r="605" spans="1:14" ht="12.75">
      <c r="A605" s="498" t="s">
        <v>165</v>
      </c>
      <c r="B605" s="499" t="s">
        <v>1032</v>
      </c>
      <c r="C605" s="74">
        <v>2</v>
      </c>
      <c r="D605" s="38" t="s">
        <v>2393</v>
      </c>
      <c r="E605" s="57">
        <f t="shared" si="137"/>
        <v>214.38672</v>
      </c>
      <c r="F605" s="32">
        <f t="shared" si="115"/>
        <v>252.97632959999999</v>
      </c>
      <c r="G605" s="80">
        <f t="shared" si="129"/>
        <v>283.5264371999999</v>
      </c>
      <c r="H605" s="19">
        <f>G605*1.18</f>
        <v>334.5611958959999</v>
      </c>
      <c r="I605" s="80">
        <f>G605*1.2*1.05*1.07*1.1*1.1</f>
        <v>462.52291458597836</v>
      </c>
      <c r="J605" s="19">
        <f>I605*1.18</f>
        <v>545.7770392114544</v>
      </c>
      <c r="K605" s="94">
        <f t="shared" si="130"/>
        <v>1.6313220000000004</v>
      </c>
      <c r="N605">
        <f t="shared" si="139"/>
        <v>231.26145729298918</v>
      </c>
    </row>
    <row r="606" spans="1:14" ht="12.75">
      <c r="A606" s="483" t="s">
        <v>166</v>
      </c>
      <c r="B606" s="945" t="s">
        <v>1301</v>
      </c>
      <c r="C606" s="945"/>
      <c r="D606" s="945"/>
      <c r="E606" s="945"/>
      <c r="F606" s="945"/>
      <c r="G606" s="945"/>
      <c r="H606" s="945"/>
      <c r="I606" s="945"/>
      <c r="J606" s="945"/>
      <c r="K606" s="111"/>
      <c r="L606" s="111"/>
      <c r="M606" s="111"/>
      <c r="N606" t="e">
        <f t="shared" si="139"/>
        <v>#DIV/0!</v>
      </c>
    </row>
    <row r="607" spans="1:14" ht="12.75">
      <c r="A607" s="498" t="s">
        <v>167</v>
      </c>
      <c r="B607" s="499" t="s">
        <v>1548</v>
      </c>
      <c r="C607" s="74">
        <v>0.3</v>
      </c>
      <c r="D607" s="38" t="s">
        <v>1494</v>
      </c>
      <c r="E607" s="57">
        <f t="shared" si="137"/>
        <v>32.158007999999995</v>
      </c>
      <c r="F607" s="32">
        <f t="shared" si="115"/>
        <v>37.946449439999995</v>
      </c>
      <c r="G607" s="80">
        <f t="shared" si="129"/>
        <v>42.52896557999998</v>
      </c>
      <c r="H607" s="19">
        <f>G607*1.18</f>
        <v>50.184179384399975</v>
      </c>
      <c r="I607" s="80">
        <f>G607*1.2*1.05*1.07*1.1*1.1</f>
        <v>69.37843718789675</v>
      </c>
      <c r="J607" s="19">
        <f>I607*1.18</f>
        <v>81.86655588171816</v>
      </c>
      <c r="K607" s="94">
        <f t="shared" si="130"/>
        <v>1.6313220000000004</v>
      </c>
      <c r="N607">
        <f t="shared" si="139"/>
        <v>231.26145729298918</v>
      </c>
    </row>
    <row r="608" spans="1:14" ht="12.75">
      <c r="A608" s="498" t="s">
        <v>168</v>
      </c>
      <c r="B608" s="499" t="s">
        <v>2531</v>
      </c>
      <c r="C608" s="74">
        <v>0.5</v>
      </c>
      <c r="D608" s="38" t="s">
        <v>1055</v>
      </c>
      <c r="E608" s="57">
        <f t="shared" si="137"/>
        <v>53.59668</v>
      </c>
      <c r="F608" s="32">
        <f t="shared" si="115"/>
        <v>63.244082399999996</v>
      </c>
      <c r="G608" s="80">
        <f t="shared" si="129"/>
        <v>70.88160929999998</v>
      </c>
      <c r="H608" s="19">
        <f>G608*1.18</f>
        <v>83.64029897399998</v>
      </c>
      <c r="I608" s="80">
        <f>G608*1.2*1.05*1.07*1.1*1.1</f>
        <v>115.63072864649459</v>
      </c>
      <c r="J608" s="19">
        <f>I608*1.18</f>
        <v>136.4442598028636</v>
      </c>
      <c r="K608" s="94">
        <f t="shared" si="130"/>
        <v>1.6313220000000004</v>
      </c>
      <c r="N608">
        <f t="shared" si="139"/>
        <v>231.26145729298918</v>
      </c>
    </row>
    <row r="609" spans="1:14" ht="12.75">
      <c r="A609" s="498" t="s">
        <v>169</v>
      </c>
      <c r="B609" s="499" t="s">
        <v>1540</v>
      </c>
      <c r="C609" s="74">
        <v>0.5</v>
      </c>
      <c r="D609" s="38">
        <v>49.73</v>
      </c>
      <c r="E609" s="57">
        <f t="shared" si="137"/>
        <v>53.59668</v>
      </c>
      <c r="F609" s="32">
        <f t="shared" si="115"/>
        <v>63.244082399999996</v>
      </c>
      <c r="G609" s="80">
        <f t="shared" si="129"/>
        <v>70.88160929999998</v>
      </c>
      <c r="H609" s="19">
        <f>G609*1.18</f>
        <v>83.64029897399998</v>
      </c>
      <c r="I609" s="80">
        <f>G609*1.2*1.05*1.07*1.1*1.1</f>
        <v>115.63072864649459</v>
      </c>
      <c r="J609" s="19">
        <f>I609*1.18</f>
        <v>136.4442598028636</v>
      </c>
      <c r="K609" s="94">
        <f t="shared" si="130"/>
        <v>1.6313220000000004</v>
      </c>
      <c r="N609">
        <f t="shared" si="139"/>
        <v>231.26145729298918</v>
      </c>
    </row>
    <row r="610" spans="1:14" ht="25.5">
      <c r="A610" s="498" t="s">
        <v>170</v>
      </c>
      <c r="B610" s="499" t="s">
        <v>706</v>
      </c>
      <c r="C610" s="74">
        <v>3.5</v>
      </c>
      <c r="D610" s="38">
        <v>546.97</v>
      </c>
      <c r="E610" s="57">
        <f t="shared" si="137"/>
        <v>375.17676</v>
      </c>
      <c r="F610" s="32">
        <f t="shared" si="115"/>
        <v>442.7085768</v>
      </c>
      <c r="G610" s="80">
        <f t="shared" si="129"/>
        <v>496.1712650999999</v>
      </c>
      <c r="H610" s="19">
        <f>G610*1.18</f>
        <v>585.4820928179998</v>
      </c>
      <c r="I610" s="80">
        <f>G610*1.2*1.05*1.07*1.1*1.1</f>
        <v>809.4151005254622</v>
      </c>
      <c r="J610" s="19">
        <f>I610*1.18</f>
        <v>955.1098186200453</v>
      </c>
      <c r="K610" s="94">
        <f t="shared" si="130"/>
        <v>1.6313220000000004</v>
      </c>
      <c r="N610">
        <f t="shared" si="139"/>
        <v>231.2614572929892</v>
      </c>
    </row>
    <row r="611" spans="1:14" ht="38.25">
      <c r="A611" s="481" t="s">
        <v>3240</v>
      </c>
      <c r="B611" s="482" t="s">
        <v>3037</v>
      </c>
      <c r="C611" s="207">
        <v>3.5</v>
      </c>
      <c r="D611" s="19">
        <v>669.95</v>
      </c>
      <c r="E611" s="19">
        <v>789.36</v>
      </c>
      <c r="F611" s="32"/>
      <c r="G611" s="19"/>
      <c r="H611" s="19"/>
      <c r="I611" s="19">
        <f>668.94*1.1*1.1</f>
        <v>809.4174000000003</v>
      </c>
      <c r="J611" s="19">
        <f>I611*1.18</f>
        <v>955.1125320000002</v>
      </c>
      <c r="K611" s="94"/>
      <c r="N611">
        <f t="shared" si="139"/>
        <v>231.26211428571438</v>
      </c>
    </row>
    <row r="612" spans="1:14" ht="12.75">
      <c r="A612" s="483" t="s">
        <v>171</v>
      </c>
      <c r="B612" s="945" t="s">
        <v>2225</v>
      </c>
      <c r="C612" s="945"/>
      <c r="D612" s="945"/>
      <c r="E612" s="945"/>
      <c r="F612" s="945"/>
      <c r="G612" s="945"/>
      <c r="H612" s="945"/>
      <c r="I612" s="945"/>
      <c r="J612" s="945"/>
      <c r="K612" s="111"/>
      <c r="L612" s="111"/>
      <c r="M612" s="111"/>
      <c r="N612" t="e">
        <f t="shared" si="139"/>
        <v>#DIV/0!</v>
      </c>
    </row>
    <row r="613" spans="1:14" ht="12.75">
      <c r="A613" s="498" t="s">
        <v>172</v>
      </c>
      <c r="B613" s="499" t="s">
        <v>1548</v>
      </c>
      <c r="C613" s="74">
        <v>0.3</v>
      </c>
      <c r="D613" s="38">
        <v>149.17</v>
      </c>
      <c r="E613" s="57">
        <f t="shared" si="137"/>
        <v>32.158007999999995</v>
      </c>
      <c r="F613" s="32">
        <f aca="true" t="shared" si="143" ref="F613:F707">E613*1.18</f>
        <v>37.946449439999995</v>
      </c>
      <c r="G613" s="80">
        <f t="shared" si="129"/>
        <v>42.52896557999998</v>
      </c>
      <c r="H613" s="19">
        <f>G613*1.18</f>
        <v>50.184179384399975</v>
      </c>
      <c r="I613" s="80">
        <f>G613*1.2*1.05*1.07*1.1*1.1</f>
        <v>69.37843718789675</v>
      </c>
      <c r="J613" s="19">
        <f>I613*1.18</f>
        <v>81.86655588171816</v>
      </c>
      <c r="K613" s="94">
        <f t="shared" si="130"/>
        <v>1.6313220000000004</v>
      </c>
      <c r="N613">
        <f t="shared" si="139"/>
        <v>231.26145729298918</v>
      </c>
    </row>
    <row r="614" spans="1:14" ht="12.75">
      <c r="A614" s="498" t="s">
        <v>173</v>
      </c>
      <c r="B614" s="499" t="s">
        <v>2531</v>
      </c>
      <c r="C614" s="74">
        <v>0.5</v>
      </c>
      <c r="D614" s="38">
        <v>99.45</v>
      </c>
      <c r="E614" s="57">
        <f t="shared" si="137"/>
        <v>53.59668</v>
      </c>
      <c r="F614" s="32">
        <f t="shared" si="143"/>
        <v>63.244082399999996</v>
      </c>
      <c r="G614" s="80">
        <f t="shared" si="129"/>
        <v>70.88160929999998</v>
      </c>
      <c r="H614" s="19">
        <f>G614*1.18</f>
        <v>83.64029897399998</v>
      </c>
      <c r="I614" s="80">
        <f>G614*1.2*1.05*1.07*1.1*1.1</f>
        <v>115.63072864649459</v>
      </c>
      <c r="J614" s="19">
        <f>I614*1.18</f>
        <v>136.4442598028636</v>
      </c>
      <c r="K614" s="94">
        <f t="shared" si="130"/>
        <v>1.6313220000000004</v>
      </c>
      <c r="N614">
        <f t="shared" si="139"/>
        <v>231.26145729298918</v>
      </c>
    </row>
    <row r="615" spans="1:14" ht="12.75">
      <c r="A615" s="498" t="s">
        <v>174</v>
      </c>
      <c r="B615" s="499" t="s">
        <v>1540</v>
      </c>
      <c r="C615" s="74">
        <v>0.5</v>
      </c>
      <c r="D615" s="38">
        <v>49.73</v>
      </c>
      <c r="E615" s="57">
        <f t="shared" si="137"/>
        <v>53.59668</v>
      </c>
      <c r="F615" s="32">
        <f t="shared" si="143"/>
        <v>63.244082399999996</v>
      </c>
      <c r="G615" s="80">
        <f t="shared" si="129"/>
        <v>70.88160929999998</v>
      </c>
      <c r="H615" s="19">
        <f>G615*1.18</f>
        <v>83.64029897399998</v>
      </c>
      <c r="I615" s="80">
        <f>G615*1.2*1.05*1.07*1.1*1.1</f>
        <v>115.63072864649459</v>
      </c>
      <c r="J615" s="19">
        <f>I615*1.18</f>
        <v>136.4442598028636</v>
      </c>
      <c r="K615" s="94">
        <f t="shared" si="130"/>
        <v>1.6313220000000004</v>
      </c>
      <c r="N615">
        <f t="shared" si="139"/>
        <v>231.26145729298918</v>
      </c>
    </row>
    <row r="616" spans="1:14" ht="25.5">
      <c r="A616" s="498" t="s">
        <v>175</v>
      </c>
      <c r="B616" s="499" t="s">
        <v>706</v>
      </c>
      <c r="C616" s="74">
        <v>3.5</v>
      </c>
      <c r="D616" s="38">
        <v>546.97</v>
      </c>
      <c r="E616" s="57">
        <f t="shared" si="137"/>
        <v>375.17676</v>
      </c>
      <c r="F616" s="32">
        <f t="shared" si="143"/>
        <v>442.7085768</v>
      </c>
      <c r="G616" s="80">
        <f t="shared" si="129"/>
        <v>496.1712650999999</v>
      </c>
      <c r="H616" s="19">
        <f>G616*1.18</f>
        <v>585.4820928179998</v>
      </c>
      <c r="I616" s="80">
        <f>G616*1.2*1.05*1.07*1.1*1.1</f>
        <v>809.4151005254622</v>
      </c>
      <c r="J616" s="19">
        <f>I616*1.18</f>
        <v>955.1098186200453</v>
      </c>
      <c r="K616" s="94">
        <f t="shared" si="130"/>
        <v>1.6313220000000004</v>
      </c>
      <c r="N616">
        <f t="shared" si="139"/>
        <v>231.2614572929892</v>
      </c>
    </row>
    <row r="617" spans="1:14" ht="38.25">
      <c r="A617" s="481" t="s">
        <v>3241</v>
      </c>
      <c r="B617" s="482" t="s">
        <v>3037</v>
      </c>
      <c r="C617" s="207">
        <v>3.5</v>
      </c>
      <c r="D617" s="19">
        <v>669.95</v>
      </c>
      <c r="E617" s="19">
        <v>789.36</v>
      </c>
      <c r="F617" s="32"/>
      <c r="G617" s="19"/>
      <c r="H617" s="19"/>
      <c r="I617" s="19">
        <f>668.94*1.1*1.1</f>
        <v>809.4174000000003</v>
      </c>
      <c r="J617" s="19">
        <f>I617*1.18</f>
        <v>955.1125320000002</v>
      </c>
      <c r="K617" s="94"/>
      <c r="N617">
        <f t="shared" si="139"/>
        <v>231.26211428571438</v>
      </c>
    </row>
    <row r="618" spans="1:14" ht="12.75">
      <c r="A618" s="483" t="s">
        <v>176</v>
      </c>
      <c r="B618" s="945" t="s">
        <v>2226</v>
      </c>
      <c r="C618" s="945"/>
      <c r="D618" s="945"/>
      <c r="E618" s="945"/>
      <c r="F618" s="945"/>
      <c r="G618" s="945"/>
      <c r="H618" s="945"/>
      <c r="I618" s="945"/>
      <c r="J618" s="945"/>
      <c r="K618" s="111"/>
      <c r="L618" s="111"/>
      <c r="M618" s="111"/>
      <c r="N618" t="e">
        <f t="shared" si="139"/>
        <v>#DIV/0!</v>
      </c>
    </row>
    <row r="619" spans="1:14" ht="12.75">
      <c r="A619" s="509" t="s">
        <v>177</v>
      </c>
      <c r="B619" s="499" t="s">
        <v>1548</v>
      </c>
      <c r="C619" s="74">
        <v>0.3</v>
      </c>
      <c r="D619" s="38">
        <v>149.17</v>
      </c>
      <c r="E619" s="57">
        <f t="shared" si="137"/>
        <v>32.158007999999995</v>
      </c>
      <c r="F619" s="32">
        <f t="shared" si="143"/>
        <v>37.946449439999995</v>
      </c>
      <c r="G619" s="80">
        <f t="shared" si="129"/>
        <v>42.52896557999998</v>
      </c>
      <c r="H619" s="19">
        <f aca="true" t="shared" si="144" ref="H619:H629">G619*1.18</f>
        <v>50.184179384399975</v>
      </c>
      <c r="I619" s="80">
        <f aca="true" t="shared" si="145" ref="I619:I629">G619*1.2*1.05*1.07*1.1*1.1</f>
        <v>69.37843718789675</v>
      </c>
      <c r="J619" s="19">
        <f aca="true" t="shared" si="146" ref="J619:J629">I619*1.18</f>
        <v>81.86655588171816</v>
      </c>
      <c r="K619" s="94">
        <f t="shared" si="130"/>
        <v>1.6313220000000004</v>
      </c>
      <c r="N619">
        <f t="shared" si="139"/>
        <v>231.26145729298918</v>
      </c>
    </row>
    <row r="620" spans="1:14" ht="12.75">
      <c r="A620" s="509" t="s">
        <v>178</v>
      </c>
      <c r="B620" s="499" t="s">
        <v>2531</v>
      </c>
      <c r="C620" s="74">
        <v>0.5</v>
      </c>
      <c r="D620" s="38">
        <v>99.45</v>
      </c>
      <c r="E620" s="57">
        <f t="shared" si="137"/>
        <v>53.59668</v>
      </c>
      <c r="F620" s="32">
        <f t="shared" si="143"/>
        <v>63.244082399999996</v>
      </c>
      <c r="G620" s="80">
        <f t="shared" si="129"/>
        <v>70.88160929999998</v>
      </c>
      <c r="H620" s="19">
        <f t="shared" si="144"/>
        <v>83.64029897399998</v>
      </c>
      <c r="I620" s="80">
        <f t="shared" si="145"/>
        <v>115.63072864649459</v>
      </c>
      <c r="J620" s="19">
        <f t="shared" si="146"/>
        <v>136.4442598028636</v>
      </c>
      <c r="K620" s="94">
        <f t="shared" si="130"/>
        <v>1.6313220000000004</v>
      </c>
      <c r="N620">
        <f t="shared" si="139"/>
        <v>231.26145729298918</v>
      </c>
    </row>
    <row r="621" spans="1:14" ht="12.75">
      <c r="A621" s="509" t="s">
        <v>179</v>
      </c>
      <c r="B621" s="499" t="s">
        <v>1540</v>
      </c>
      <c r="C621" s="74">
        <v>0.5</v>
      </c>
      <c r="D621" s="38">
        <v>49.73</v>
      </c>
      <c r="E621" s="57">
        <f t="shared" si="137"/>
        <v>53.59668</v>
      </c>
      <c r="F621" s="32">
        <f t="shared" si="143"/>
        <v>63.244082399999996</v>
      </c>
      <c r="G621" s="80">
        <f t="shared" si="129"/>
        <v>70.88160929999998</v>
      </c>
      <c r="H621" s="19">
        <f t="shared" si="144"/>
        <v>83.64029897399998</v>
      </c>
      <c r="I621" s="80">
        <f t="shared" si="145"/>
        <v>115.63072864649459</v>
      </c>
      <c r="J621" s="19">
        <f t="shared" si="146"/>
        <v>136.4442598028636</v>
      </c>
      <c r="K621" s="94">
        <f t="shared" si="130"/>
        <v>1.6313220000000004</v>
      </c>
      <c r="N621">
        <f t="shared" si="139"/>
        <v>231.26145729298918</v>
      </c>
    </row>
    <row r="622" spans="1:14" ht="25.5">
      <c r="A622" s="509" t="s">
        <v>180</v>
      </c>
      <c r="B622" s="499" t="s">
        <v>706</v>
      </c>
      <c r="C622" s="74">
        <v>3.5</v>
      </c>
      <c r="D622" s="38">
        <v>546.97</v>
      </c>
      <c r="E622" s="57">
        <f t="shared" si="137"/>
        <v>375.17676</v>
      </c>
      <c r="F622" s="32">
        <f t="shared" si="143"/>
        <v>442.7085768</v>
      </c>
      <c r="G622" s="80">
        <f t="shared" si="129"/>
        <v>496.1712650999999</v>
      </c>
      <c r="H622" s="19">
        <f t="shared" si="144"/>
        <v>585.4820928179998</v>
      </c>
      <c r="I622" s="80">
        <f t="shared" si="145"/>
        <v>809.4151005254622</v>
      </c>
      <c r="J622" s="19">
        <f t="shared" si="146"/>
        <v>955.1098186200453</v>
      </c>
      <c r="K622" s="94">
        <f t="shared" si="130"/>
        <v>1.6313220000000004</v>
      </c>
      <c r="N622">
        <f t="shared" si="139"/>
        <v>231.2614572929892</v>
      </c>
    </row>
    <row r="623" spans="1:14" ht="12.75">
      <c r="A623" s="509" t="s">
        <v>181</v>
      </c>
      <c r="B623" s="499" t="s">
        <v>2559</v>
      </c>
      <c r="C623" s="74">
        <v>1.5</v>
      </c>
      <c r="D623" s="38">
        <v>248.63</v>
      </c>
      <c r="E623" s="57">
        <f t="shared" si="137"/>
        <v>160.79003999999998</v>
      </c>
      <c r="F623" s="32">
        <f t="shared" si="143"/>
        <v>189.73224719999996</v>
      </c>
      <c r="G623" s="80">
        <f t="shared" si="129"/>
        <v>212.6448278999999</v>
      </c>
      <c r="H623" s="19">
        <f t="shared" si="144"/>
        <v>250.92089692199988</v>
      </c>
      <c r="I623" s="80">
        <f t="shared" si="145"/>
        <v>346.89218593948374</v>
      </c>
      <c r="J623" s="19">
        <f t="shared" si="146"/>
        <v>409.3327794085908</v>
      </c>
      <c r="K623" s="94">
        <f t="shared" si="130"/>
        <v>1.6313220000000004</v>
      </c>
      <c r="N623">
        <f t="shared" si="139"/>
        <v>231.26145729298915</v>
      </c>
    </row>
    <row r="624" spans="1:14" ht="12.75">
      <c r="A624" s="509" t="s">
        <v>182</v>
      </c>
      <c r="B624" s="499" t="s">
        <v>1513</v>
      </c>
      <c r="C624" s="74">
        <v>2</v>
      </c>
      <c r="D624" s="38">
        <v>198.9</v>
      </c>
      <c r="E624" s="57">
        <f t="shared" si="137"/>
        <v>214.38672</v>
      </c>
      <c r="F624" s="32">
        <f t="shared" si="143"/>
        <v>252.97632959999999</v>
      </c>
      <c r="G624" s="80">
        <f t="shared" si="129"/>
        <v>283.5264371999999</v>
      </c>
      <c r="H624" s="19">
        <f t="shared" si="144"/>
        <v>334.5611958959999</v>
      </c>
      <c r="I624" s="80">
        <f t="shared" si="145"/>
        <v>462.52291458597836</v>
      </c>
      <c r="J624" s="19">
        <f t="shared" si="146"/>
        <v>545.7770392114544</v>
      </c>
      <c r="K624" s="94">
        <f t="shared" si="130"/>
        <v>1.6313220000000004</v>
      </c>
      <c r="N624">
        <f t="shared" si="139"/>
        <v>231.26145729298918</v>
      </c>
    </row>
    <row r="625" spans="1:14" ht="12.75">
      <c r="A625" s="509" t="s">
        <v>183</v>
      </c>
      <c r="B625" s="499" t="s">
        <v>2227</v>
      </c>
      <c r="C625" s="74">
        <v>1</v>
      </c>
      <c r="D625" s="38">
        <v>99.45</v>
      </c>
      <c r="E625" s="57">
        <f t="shared" si="137"/>
        <v>107.19336</v>
      </c>
      <c r="F625" s="32">
        <f t="shared" si="143"/>
        <v>126.48816479999999</v>
      </c>
      <c r="G625" s="80">
        <f t="shared" si="129"/>
        <v>141.76321859999996</v>
      </c>
      <c r="H625" s="19">
        <f t="shared" si="144"/>
        <v>167.28059794799995</v>
      </c>
      <c r="I625" s="80">
        <f t="shared" si="145"/>
        <v>231.26145729298918</v>
      </c>
      <c r="J625" s="19">
        <f t="shared" si="146"/>
        <v>272.8885196057272</v>
      </c>
      <c r="K625" s="94">
        <f t="shared" si="130"/>
        <v>1.6313220000000004</v>
      </c>
      <c r="N625">
        <f t="shared" si="139"/>
        <v>231.26145729298918</v>
      </c>
    </row>
    <row r="626" spans="1:14" ht="12.75">
      <c r="A626" s="509" t="s">
        <v>184</v>
      </c>
      <c r="B626" s="499" t="s">
        <v>1514</v>
      </c>
      <c r="C626" s="74">
        <v>1.5</v>
      </c>
      <c r="D626" s="38">
        <v>149.17</v>
      </c>
      <c r="E626" s="57">
        <f t="shared" si="137"/>
        <v>160.79003999999998</v>
      </c>
      <c r="F626" s="32">
        <f t="shared" si="143"/>
        <v>189.73224719999996</v>
      </c>
      <c r="G626" s="80">
        <f t="shared" si="129"/>
        <v>212.6448278999999</v>
      </c>
      <c r="H626" s="19">
        <f t="shared" si="144"/>
        <v>250.92089692199988</v>
      </c>
      <c r="I626" s="80">
        <f t="shared" si="145"/>
        <v>346.89218593948374</v>
      </c>
      <c r="J626" s="19">
        <f t="shared" si="146"/>
        <v>409.3327794085908</v>
      </c>
      <c r="K626" s="94">
        <f t="shared" si="130"/>
        <v>1.6313220000000004</v>
      </c>
      <c r="N626">
        <f t="shared" si="139"/>
        <v>231.26145729298915</v>
      </c>
    </row>
    <row r="627" spans="1:14" ht="12.75">
      <c r="A627" s="509" t="s">
        <v>185</v>
      </c>
      <c r="B627" s="499" t="s">
        <v>2228</v>
      </c>
      <c r="C627" s="74">
        <f>D627/99.45</f>
        <v>1.499949723479135</v>
      </c>
      <c r="D627" s="38">
        <v>149.17</v>
      </c>
      <c r="E627" s="57">
        <f t="shared" si="137"/>
        <v>160.78465069079937</v>
      </c>
      <c r="F627" s="32">
        <f t="shared" si="143"/>
        <v>189.72588781514324</v>
      </c>
      <c r="G627" s="80">
        <f t="shared" si="129"/>
        <v>212.63770053858212</v>
      </c>
      <c r="H627" s="19">
        <f t="shared" si="144"/>
        <v>250.9124866355269</v>
      </c>
      <c r="I627" s="80">
        <f t="shared" si="145"/>
        <v>346.88055891800093</v>
      </c>
      <c r="J627" s="19">
        <f t="shared" si="146"/>
        <v>409.3190595232411</v>
      </c>
      <c r="K627" s="94">
        <f t="shared" si="130"/>
        <v>1.6313220000000004</v>
      </c>
      <c r="N627">
        <f t="shared" si="139"/>
        <v>231.26145729298918</v>
      </c>
    </row>
    <row r="628" spans="1:14" ht="12.75">
      <c r="A628" s="353" t="s">
        <v>186</v>
      </c>
      <c r="B628" s="499" t="s">
        <v>1515</v>
      </c>
      <c r="C628" s="74">
        <v>1.5</v>
      </c>
      <c r="D628" s="38">
        <v>149.17</v>
      </c>
      <c r="E628" s="57">
        <f t="shared" si="137"/>
        <v>160.79003999999998</v>
      </c>
      <c r="F628" s="32">
        <f t="shared" si="143"/>
        <v>189.73224719999996</v>
      </c>
      <c r="G628" s="80">
        <f t="shared" si="129"/>
        <v>212.6448278999999</v>
      </c>
      <c r="H628" s="19">
        <f t="shared" si="144"/>
        <v>250.92089692199988</v>
      </c>
      <c r="I628" s="80">
        <f t="shared" si="145"/>
        <v>346.89218593948374</v>
      </c>
      <c r="J628" s="19">
        <f t="shared" si="146"/>
        <v>409.3327794085908</v>
      </c>
      <c r="K628" s="94">
        <f t="shared" si="130"/>
        <v>1.6313220000000004</v>
      </c>
      <c r="N628">
        <f t="shared" si="139"/>
        <v>231.26145729298915</v>
      </c>
    </row>
    <row r="629" spans="1:14" ht="12.75">
      <c r="A629" s="353" t="s">
        <v>187</v>
      </c>
      <c r="B629" s="499" t="s">
        <v>2229</v>
      </c>
      <c r="C629" s="74">
        <v>1.5</v>
      </c>
      <c r="D629" s="38">
        <v>149.17</v>
      </c>
      <c r="E629" s="57">
        <f t="shared" si="137"/>
        <v>160.79003999999998</v>
      </c>
      <c r="F629" s="32">
        <f t="shared" si="143"/>
        <v>189.73224719999996</v>
      </c>
      <c r="G629" s="80">
        <f t="shared" si="129"/>
        <v>212.6448278999999</v>
      </c>
      <c r="H629" s="19">
        <f t="shared" si="144"/>
        <v>250.92089692199988</v>
      </c>
      <c r="I629" s="80">
        <f t="shared" si="145"/>
        <v>346.89218593948374</v>
      </c>
      <c r="J629" s="19">
        <f t="shared" si="146"/>
        <v>409.3327794085908</v>
      </c>
      <c r="K629" s="94">
        <f t="shared" si="130"/>
        <v>1.6313220000000004</v>
      </c>
      <c r="N629">
        <f t="shared" si="139"/>
        <v>231.26145729298915</v>
      </c>
    </row>
    <row r="630" spans="1:14" ht="38.25">
      <c r="A630" s="481" t="s">
        <v>3242</v>
      </c>
      <c r="B630" s="482" t="s">
        <v>3037</v>
      </c>
      <c r="C630" s="207">
        <v>3.5</v>
      </c>
      <c r="D630" s="19">
        <v>669.95</v>
      </c>
      <c r="E630" s="19">
        <v>789.36</v>
      </c>
      <c r="F630" s="32"/>
      <c r="G630" s="19"/>
      <c r="H630" s="19"/>
      <c r="I630" s="19">
        <f>668.94*1.1*1.1</f>
        <v>809.4174000000003</v>
      </c>
      <c r="J630" s="19">
        <f>I630*1.18</f>
        <v>955.1125320000002</v>
      </c>
      <c r="K630" s="94"/>
      <c r="N630">
        <f t="shared" si="139"/>
        <v>231.26211428571438</v>
      </c>
    </row>
    <row r="631" spans="1:14" ht="12.75">
      <c r="A631" s="945" t="s">
        <v>2230</v>
      </c>
      <c r="B631" s="945"/>
      <c r="C631" s="945"/>
      <c r="D631" s="945"/>
      <c r="E631" s="945"/>
      <c r="F631" s="945"/>
      <c r="G631" s="945"/>
      <c r="H631" s="945"/>
      <c r="I631" s="945"/>
      <c r="J631" s="945"/>
      <c r="K631" s="111"/>
      <c r="L631" s="111"/>
      <c r="M631" s="111"/>
      <c r="N631" t="e">
        <f t="shared" si="139"/>
        <v>#DIV/0!</v>
      </c>
    </row>
    <row r="632" spans="1:14" ht="12.75">
      <c r="A632" s="483" t="s">
        <v>188</v>
      </c>
      <c r="B632" s="945" t="s">
        <v>2231</v>
      </c>
      <c r="C632" s="945"/>
      <c r="D632" s="945"/>
      <c r="E632" s="945"/>
      <c r="F632" s="945"/>
      <c r="G632" s="945"/>
      <c r="H632" s="945"/>
      <c r="I632" s="945"/>
      <c r="J632" s="945"/>
      <c r="K632" s="111"/>
      <c r="L632" s="111"/>
      <c r="M632" s="111"/>
      <c r="N632" t="e">
        <f t="shared" si="139"/>
        <v>#DIV/0!</v>
      </c>
    </row>
    <row r="633" spans="1:14" ht="12.75">
      <c r="A633" s="498" t="s">
        <v>189</v>
      </c>
      <c r="B633" s="499" t="s">
        <v>1548</v>
      </c>
      <c r="C633" s="74">
        <v>0.3</v>
      </c>
      <c r="D633" s="38">
        <v>149.17</v>
      </c>
      <c r="E633" s="57">
        <f>C633*97.36*1.101</f>
        <v>32.158007999999995</v>
      </c>
      <c r="F633" s="32">
        <f t="shared" si="143"/>
        <v>37.946449439999995</v>
      </c>
      <c r="G633" s="80">
        <f>E633*1.15*1.15</f>
        <v>42.52896557999998</v>
      </c>
      <c r="H633" s="19">
        <f>G633*1.18</f>
        <v>50.184179384399975</v>
      </c>
      <c r="I633" s="80">
        <f>G633*1.2*1.05*1.07*1.1*1.1</f>
        <v>69.37843718789675</v>
      </c>
      <c r="J633" s="19">
        <f>I633*1.18</f>
        <v>81.86655588171816</v>
      </c>
      <c r="K633" s="94">
        <f>I633/G633</f>
        <v>1.6313220000000004</v>
      </c>
      <c r="N633">
        <f t="shared" si="139"/>
        <v>231.26145729298918</v>
      </c>
    </row>
    <row r="634" spans="1:14" ht="12.75">
      <c r="A634" s="498" t="s">
        <v>190</v>
      </c>
      <c r="B634" s="499" t="s">
        <v>1540</v>
      </c>
      <c r="C634" s="74">
        <v>0.5</v>
      </c>
      <c r="D634" s="38">
        <v>49.73</v>
      </c>
      <c r="E634" s="57">
        <f>C634*97.36*1.101</f>
        <v>53.59668</v>
      </c>
      <c r="F634" s="32">
        <f t="shared" si="143"/>
        <v>63.244082399999996</v>
      </c>
      <c r="G634" s="80">
        <f>E634*1.15*1.15</f>
        <v>70.88160929999998</v>
      </c>
      <c r="H634" s="19">
        <f>G634*1.18</f>
        <v>83.64029897399998</v>
      </c>
      <c r="I634" s="80">
        <f>G634*1.2*1.05*1.07*1.1*1.1</f>
        <v>115.63072864649459</v>
      </c>
      <c r="J634" s="19">
        <f>I634*1.18</f>
        <v>136.4442598028636</v>
      </c>
      <c r="K634" s="94">
        <f>I634/G634</f>
        <v>1.6313220000000004</v>
      </c>
      <c r="N634">
        <f t="shared" si="139"/>
        <v>231.26145729298918</v>
      </c>
    </row>
    <row r="635" spans="1:14" ht="25.5">
      <c r="A635" s="498" t="s">
        <v>191</v>
      </c>
      <c r="B635" s="499" t="s">
        <v>706</v>
      </c>
      <c r="C635" s="74">
        <v>3.5</v>
      </c>
      <c r="D635" s="38">
        <v>546.97</v>
      </c>
      <c r="E635" s="57">
        <f>C635*97.36*1.101</f>
        <v>375.17676</v>
      </c>
      <c r="F635" s="32">
        <f t="shared" si="143"/>
        <v>442.7085768</v>
      </c>
      <c r="G635" s="80">
        <f>E635*1.15*1.15</f>
        <v>496.1712650999999</v>
      </c>
      <c r="H635" s="19">
        <f>G635*1.18</f>
        <v>585.4820928179998</v>
      </c>
      <c r="I635" s="80">
        <f>G635*1.2*1.05*1.07*1.1*1.1</f>
        <v>809.4151005254622</v>
      </c>
      <c r="J635" s="19">
        <f>I635*1.18</f>
        <v>955.1098186200453</v>
      </c>
      <c r="K635" s="94">
        <f>I635/G635</f>
        <v>1.6313220000000004</v>
      </c>
      <c r="N635">
        <f t="shared" si="139"/>
        <v>231.2614572929892</v>
      </c>
    </row>
    <row r="636" spans="1:14" ht="63.75">
      <c r="A636" s="459" t="s">
        <v>3243</v>
      </c>
      <c r="B636" s="472" t="s">
        <v>3045</v>
      </c>
      <c r="C636" s="209">
        <v>5.3</v>
      </c>
      <c r="D636" s="116"/>
      <c r="E636" s="59">
        <f>C636*97.36*1.101</f>
        <v>568.1248079999999</v>
      </c>
      <c r="F636" s="32">
        <f>E636*1.18</f>
        <v>670.3872734399998</v>
      </c>
      <c r="G636" s="19">
        <v>1035.26</v>
      </c>
      <c r="H636" s="19">
        <f>G636*1.18</f>
        <v>1221.6068</v>
      </c>
      <c r="I636" s="19">
        <f>844.14*1.1*1.1</f>
        <v>1021.4094000000002</v>
      </c>
      <c r="J636" s="19">
        <f>I636*1.18</f>
        <v>1205.2630920000001</v>
      </c>
      <c r="K636" s="476"/>
      <c r="L636" s="477"/>
      <c r="M636" s="477"/>
      <c r="N636">
        <f t="shared" si="139"/>
        <v>192.71875471698118</v>
      </c>
    </row>
    <row r="637" spans="1:14" ht="25.5">
      <c r="A637" s="459"/>
      <c r="B637" s="472" t="s">
        <v>3244</v>
      </c>
      <c r="C637" s="209">
        <v>3.5</v>
      </c>
      <c r="D637" s="116"/>
      <c r="E637" s="59"/>
      <c r="F637" s="32"/>
      <c r="G637" s="19"/>
      <c r="H637" s="19"/>
      <c r="I637" s="19">
        <f>557.45*1.1*1.1</f>
        <v>674.5145000000001</v>
      </c>
      <c r="J637" s="19">
        <f aca="true" t="shared" si="147" ref="J637:J642">I637*1.18</f>
        <v>795.9271100000001</v>
      </c>
      <c r="K637" s="476"/>
      <c r="L637" s="477"/>
      <c r="M637" s="477"/>
      <c r="N637">
        <f t="shared" si="139"/>
        <v>192.7184285714286</v>
      </c>
    </row>
    <row r="638" spans="1:14" ht="25.5">
      <c r="A638" s="459"/>
      <c r="B638" s="472" t="s">
        <v>3245</v>
      </c>
      <c r="C638" s="209">
        <v>3.8</v>
      </c>
      <c r="D638" s="116"/>
      <c r="E638" s="59"/>
      <c r="F638" s="32"/>
      <c r="G638" s="19"/>
      <c r="H638" s="19"/>
      <c r="I638" s="19">
        <f>605.23*1.1*1.1</f>
        <v>732.3283000000001</v>
      </c>
      <c r="J638" s="19">
        <f t="shared" si="147"/>
        <v>864.1473940000001</v>
      </c>
      <c r="K638" s="476"/>
      <c r="L638" s="477"/>
      <c r="M638" s="477"/>
      <c r="N638">
        <f t="shared" si="139"/>
        <v>192.71797368421056</v>
      </c>
    </row>
    <row r="639" spans="1:14" ht="25.5">
      <c r="A639" s="459"/>
      <c r="B639" s="472" t="s">
        <v>3246</v>
      </c>
      <c r="C639" s="209">
        <v>4.1</v>
      </c>
      <c r="D639" s="116"/>
      <c r="E639" s="59"/>
      <c r="F639" s="32"/>
      <c r="G639" s="19"/>
      <c r="H639" s="19"/>
      <c r="I639" s="19">
        <f>653.01*1.1*1.1</f>
        <v>790.1421000000001</v>
      </c>
      <c r="J639" s="19">
        <f t="shared" si="147"/>
        <v>932.3676780000001</v>
      </c>
      <c r="K639" s="476"/>
      <c r="L639" s="477"/>
      <c r="M639" s="477"/>
      <c r="N639">
        <f t="shared" si="139"/>
        <v>192.71758536585372</v>
      </c>
    </row>
    <row r="640" spans="1:14" ht="25.5">
      <c r="A640" s="459"/>
      <c r="B640" s="472" t="s">
        <v>3247</v>
      </c>
      <c r="C640" s="209">
        <v>4.4</v>
      </c>
      <c r="D640" s="116"/>
      <c r="E640" s="59"/>
      <c r="F640" s="32"/>
      <c r="G640" s="19"/>
      <c r="H640" s="19"/>
      <c r="I640" s="19">
        <f>700.79*1.1*1.1</f>
        <v>847.9559000000002</v>
      </c>
      <c r="J640" s="19">
        <f t="shared" si="147"/>
        <v>1000.5879620000002</v>
      </c>
      <c r="K640" s="476"/>
      <c r="L640" s="477"/>
      <c r="M640" s="477"/>
      <c r="N640">
        <f t="shared" si="139"/>
        <v>192.71725</v>
      </c>
    </row>
    <row r="641" spans="1:14" ht="25.5">
      <c r="A641" s="459"/>
      <c r="B641" s="472" t="s">
        <v>3248</v>
      </c>
      <c r="C641" s="209">
        <v>4.7</v>
      </c>
      <c r="D641" s="116"/>
      <c r="E641" s="59"/>
      <c r="F641" s="32"/>
      <c r="G641" s="19"/>
      <c r="H641" s="19"/>
      <c r="I641" s="19">
        <f>748.57*1.1*1.1</f>
        <v>905.7697000000002</v>
      </c>
      <c r="J641" s="19">
        <f t="shared" si="147"/>
        <v>1068.808246</v>
      </c>
      <c r="K641" s="476"/>
      <c r="L641" s="477"/>
      <c r="M641" s="477"/>
      <c r="N641">
        <f t="shared" si="139"/>
        <v>192.71695744680855</v>
      </c>
    </row>
    <row r="642" spans="1:14" ht="25.5">
      <c r="A642" s="459"/>
      <c r="B642" s="472" t="s">
        <v>3249</v>
      </c>
      <c r="C642" s="209">
        <v>5</v>
      </c>
      <c r="D642" s="116"/>
      <c r="E642" s="59"/>
      <c r="F642" s="32"/>
      <c r="G642" s="19"/>
      <c r="H642" s="19"/>
      <c r="I642" s="19">
        <f>796.35*1.1*1.1</f>
        <v>963.5835000000002</v>
      </c>
      <c r="J642" s="19">
        <f t="shared" si="147"/>
        <v>1137.02853</v>
      </c>
      <c r="K642" s="476"/>
      <c r="L642" s="477"/>
      <c r="M642" s="477"/>
      <c r="N642">
        <f t="shared" si="139"/>
        <v>192.71670000000003</v>
      </c>
    </row>
    <row r="643" spans="1:14" ht="12.75">
      <c r="A643" s="483" t="s">
        <v>3250</v>
      </c>
      <c r="B643" s="482" t="s">
        <v>1444</v>
      </c>
      <c r="C643" s="207">
        <v>1.2</v>
      </c>
      <c r="D643" s="484">
        <v>546.97</v>
      </c>
      <c r="E643" s="510">
        <f>C643*97.36*1.101</f>
        <v>128.63203199999998</v>
      </c>
      <c r="F643" s="32">
        <f>E643*1.18</f>
        <v>151.78579775999998</v>
      </c>
      <c r="G643" s="19">
        <f>E643*1.15*1.15</f>
        <v>170.11586231999993</v>
      </c>
      <c r="H643" s="19">
        <f>G643*1.18</f>
        <v>200.7367175375999</v>
      </c>
      <c r="I643" s="19">
        <f>G643*1.2*1.05*1.07*1.1*1.1</f>
        <v>277.513748751587</v>
      </c>
      <c r="J643" s="19">
        <f>I643*1.18</f>
        <v>327.4662235268726</v>
      </c>
      <c r="K643" s="480">
        <f>I643/G643</f>
        <v>1.6313220000000004</v>
      </c>
      <c r="L643" s="3"/>
      <c r="M643" s="3"/>
      <c r="N643">
        <f t="shared" si="139"/>
        <v>231.26145729298918</v>
      </c>
    </row>
    <row r="644" spans="1:14" ht="12.75">
      <c r="A644" s="483" t="s">
        <v>3251</v>
      </c>
      <c r="B644" s="482" t="s">
        <v>3230</v>
      </c>
      <c r="C644" s="207">
        <v>1.2</v>
      </c>
      <c r="D644" s="484">
        <v>298.35</v>
      </c>
      <c r="E644" s="59">
        <f>C644*97.36*1.101</f>
        <v>128.63203199999998</v>
      </c>
      <c r="F644" s="32">
        <f>E644*1.18</f>
        <v>151.78579775999998</v>
      </c>
      <c r="G644" s="19">
        <f>E644*1.15*1.15</f>
        <v>170.11586231999993</v>
      </c>
      <c r="H644" s="19">
        <f>G644*1.18</f>
        <v>200.7367175375999</v>
      </c>
      <c r="I644" s="19">
        <f>G644*1.2*1.05*1.07*1.1*1.1</f>
        <v>277.513748751587</v>
      </c>
      <c r="J644" s="19">
        <f>I644*1.18</f>
        <v>327.4662235268726</v>
      </c>
      <c r="K644" s="480">
        <f>I644/G644</f>
        <v>1.6313220000000004</v>
      </c>
      <c r="L644" s="3"/>
      <c r="M644" s="3"/>
      <c r="N644">
        <f t="shared" si="139"/>
        <v>231.26145729298918</v>
      </c>
    </row>
    <row r="645" spans="1:14" ht="38.25">
      <c r="A645" s="481" t="s">
        <v>3252</v>
      </c>
      <c r="B645" s="482" t="s">
        <v>3037</v>
      </c>
      <c r="C645" s="207">
        <v>3.5</v>
      </c>
      <c r="D645" s="19">
        <v>669.95</v>
      </c>
      <c r="E645" s="19">
        <v>789.36</v>
      </c>
      <c r="F645" s="32"/>
      <c r="G645" s="19"/>
      <c r="H645" s="19"/>
      <c r="I645" s="19">
        <f>668.94*1.1*1.1</f>
        <v>809.4174000000003</v>
      </c>
      <c r="J645" s="19">
        <f>I645*1.18</f>
        <v>955.1125320000002</v>
      </c>
      <c r="K645" s="94"/>
      <c r="N645">
        <f t="shared" si="139"/>
        <v>231.26211428571438</v>
      </c>
    </row>
    <row r="646" spans="1:14" ht="63.75">
      <c r="A646" s="473" t="s">
        <v>3253</v>
      </c>
      <c r="B646" s="472" t="s">
        <v>3254</v>
      </c>
      <c r="C646" s="209">
        <v>5.9</v>
      </c>
      <c r="D646" s="116"/>
      <c r="E646" s="59"/>
      <c r="F646" s="32"/>
      <c r="G646" s="19"/>
      <c r="H646" s="19"/>
      <c r="I646" s="19">
        <f>939.7*1.1*1.1</f>
        <v>1137.0370000000003</v>
      </c>
      <c r="J646" s="19">
        <f>I646*1.18</f>
        <v>1341.7036600000001</v>
      </c>
      <c r="K646" s="60"/>
      <c r="L646" s="61"/>
      <c r="M646" s="97"/>
      <c r="N646">
        <f t="shared" si="139"/>
        <v>192.71813559322038</v>
      </c>
    </row>
    <row r="647" spans="1:14" ht="25.5">
      <c r="A647" s="459"/>
      <c r="B647" s="472" t="s">
        <v>3255</v>
      </c>
      <c r="C647" s="209">
        <v>3.5</v>
      </c>
      <c r="D647" s="116"/>
      <c r="E647" s="59"/>
      <c r="F647" s="32"/>
      <c r="G647" s="19"/>
      <c r="H647" s="19"/>
      <c r="I647" s="19">
        <f>557.45*1.1*1.1</f>
        <v>674.5145000000001</v>
      </c>
      <c r="J647" s="19">
        <f aca="true" t="shared" si="148" ref="J647:J659">I647*1.18</f>
        <v>795.9271100000001</v>
      </c>
      <c r="K647" s="60"/>
      <c r="L647" s="61"/>
      <c r="M647" s="97"/>
      <c r="N647">
        <f t="shared" si="139"/>
        <v>192.7184285714286</v>
      </c>
    </row>
    <row r="648" spans="1:14" ht="25.5">
      <c r="A648" s="459"/>
      <c r="B648" s="472" t="s">
        <v>3256</v>
      </c>
      <c r="C648" s="209">
        <v>3.8</v>
      </c>
      <c r="D648" s="116"/>
      <c r="E648" s="59"/>
      <c r="F648" s="32"/>
      <c r="G648" s="19"/>
      <c r="H648" s="19"/>
      <c r="I648" s="19">
        <f>605.23*1.1*1.1</f>
        <v>732.3283000000001</v>
      </c>
      <c r="J648" s="19">
        <f t="shared" si="148"/>
        <v>864.1473940000001</v>
      </c>
      <c r="K648" s="60"/>
      <c r="L648" s="61"/>
      <c r="M648" s="97"/>
      <c r="N648">
        <f t="shared" si="139"/>
        <v>192.71797368421056</v>
      </c>
    </row>
    <row r="649" spans="1:14" ht="25.5">
      <c r="A649" s="459"/>
      <c r="B649" s="472" t="s">
        <v>3257</v>
      </c>
      <c r="C649" s="209">
        <v>4.1</v>
      </c>
      <c r="D649" s="116"/>
      <c r="E649" s="59"/>
      <c r="F649" s="32"/>
      <c r="G649" s="19"/>
      <c r="H649" s="19"/>
      <c r="I649" s="19">
        <f>653.01*1.1*1.1</f>
        <v>790.1421000000001</v>
      </c>
      <c r="J649" s="19">
        <f t="shared" si="148"/>
        <v>932.3676780000001</v>
      </c>
      <c r="K649" s="60"/>
      <c r="L649" s="61"/>
      <c r="M649" s="97"/>
      <c r="N649">
        <f t="shared" si="139"/>
        <v>192.71758536585372</v>
      </c>
    </row>
    <row r="650" spans="1:14" ht="25.5">
      <c r="A650" s="459"/>
      <c r="B650" s="472" t="s">
        <v>3258</v>
      </c>
      <c r="C650" s="209">
        <v>4.4</v>
      </c>
      <c r="D650" s="116"/>
      <c r="E650" s="59"/>
      <c r="F650" s="32"/>
      <c r="G650" s="19"/>
      <c r="H650" s="19"/>
      <c r="I650" s="19">
        <f>700.79*1.1*1.1</f>
        <v>847.9559000000002</v>
      </c>
      <c r="J650" s="19">
        <f t="shared" si="148"/>
        <v>1000.5879620000002</v>
      </c>
      <c r="K650" s="60"/>
      <c r="L650" s="61"/>
      <c r="M650" s="97"/>
      <c r="N650">
        <f t="shared" si="139"/>
        <v>192.71725</v>
      </c>
    </row>
    <row r="651" spans="1:14" ht="25.5">
      <c r="A651" s="459"/>
      <c r="B651" s="472" t="s">
        <v>3259</v>
      </c>
      <c r="C651" s="209">
        <v>4.7</v>
      </c>
      <c r="D651" s="116"/>
      <c r="E651" s="59"/>
      <c r="F651" s="32"/>
      <c r="G651" s="19"/>
      <c r="H651" s="19"/>
      <c r="I651" s="19">
        <f>748.57*1.1*1.1</f>
        <v>905.7697000000002</v>
      </c>
      <c r="J651" s="19">
        <f t="shared" si="148"/>
        <v>1068.808246</v>
      </c>
      <c r="K651" s="60"/>
      <c r="L651" s="61"/>
      <c r="M651" s="97"/>
      <c r="N651">
        <f t="shared" si="139"/>
        <v>192.71695744680855</v>
      </c>
    </row>
    <row r="652" spans="1:14" ht="25.5">
      <c r="A652" s="459"/>
      <c r="B652" s="472" t="s">
        <v>3260</v>
      </c>
      <c r="C652" s="209">
        <v>5</v>
      </c>
      <c r="D652" s="116"/>
      <c r="E652" s="59"/>
      <c r="F652" s="32"/>
      <c r="G652" s="19"/>
      <c r="H652" s="19"/>
      <c r="I652" s="19">
        <f>796.35*1.1*1.1</f>
        <v>963.5835000000002</v>
      </c>
      <c r="J652" s="19">
        <f t="shared" si="148"/>
        <v>1137.02853</v>
      </c>
      <c r="K652" s="60"/>
      <c r="L652" s="61"/>
      <c r="M652" s="97"/>
      <c r="N652">
        <f t="shared" si="139"/>
        <v>192.71670000000003</v>
      </c>
    </row>
    <row r="653" spans="1:14" ht="25.5">
      <c r="A653" s="459"/>
      <c r="B653" s="472" t="s">
        <v>3261</v>
      </c>
      <c r="C653" s="209">
        <v>5.3</v>
      </c>
      <c r="D653" s="116"/>
      <c r="E653" s="59">
        <f>C653*97.36*1.101</f>
        <v>568.1248079999999</v>
      </c>
      <c r="F653" s="32">
        <f>E653*1.18</f>
        <v>670.3872734399998</v>
      </c>
      <c r="G653" s="19">
        <v>844.14</v>
      </c>
      <c r="H653" s="19">
        <f>G653*1.18</f>
        <v>996.0852</v>
      </c>
      <c r="I653" s="19">
        <f>844.14*1.1*1.1</f>
        <v>1021.4094000000002</v>
      </c>
      <c r="J653" s="19">
        <f t="shared" si="148"/>
        <v>1205.2630920000001</v>
      </c>
      <c r="K653" s="60"/>
      <c r="L653" s="61"/>
      <c r="M653" s="97"/>
      <c r="N653">
        <f t="shared" si="139"/>
        <v>192.71875471698118</v>
      </c>
    </row>
    <row r="654" spans="1:14" ht="25.5">
      <c r="A654" s="459"/>
      <c r="B654" s="472" t="s">
        <v>3262</v>
      </c>
      <c r="C654" s="115">
        <v>5.6</v>
      </c>
      <c r="D654" s="116"/>
      <c r="E654" s="59"/>
      <c r="F654" s="32"/>
      <c r="G654" s="19"/>
      <c r="H654" s="19"/>
      <c r="I654" s="19">
        <f>891.92*1.1*1.1</f>
        <v>1079.2232000000001</v>
      </c>
      <c r="J654" s="19">
        <f t="shared" si="148"/>
        <v>1273.4833760000001</v>
      </c>
      <c r="K654" s="489"/>
      <c r="L654" s="369"/>
      <c r="M654" s="80"/>
      <c r="N654">
        <f t="shared" si="139"/>
        <v>192.7184285714286</v>
      </c>
    </row>
    <row r="655" spans="1:14" ht="51">
      <c r="A655" s="459" t="s">
        <v>3263</v>
      </c>
      <c r="B655" s="472" t="s">
        <v>3219</v>
      </c>
      <c r="C655" s="209">
        <v>5.3</v>
      </c>
      <c r="D655" s="116"/>
      <c r="E655" s="59">
        <f>C655*97.36*1.101</f>
        <v>568.1248079999999</v>
      </c>
      <c r="F655" s="32">
        <f>E655*1.18</f>
        <v>670.3872734399998</v>
      </c>
      <c r="G655" s="19">
        <v>1035.26</v>
      </c>
      <c r="H655" s="19">
        <f>G655*1.18</f>
        <v>1221.6068</v>
      </c>
      <c r="I655" s="19">
        <f>844.14*1.1*1.1</f>
        <v>1021.4094000000002</v>
      </c>
      <c r="J655" s="19">
        <f t="shared" si="148"/>
        <v>1205.2630920000001</v>
      </c>
      <c r="K655" s="489"/>
      <c r="L655" s="369"/>
      <c r="M655" s="80"/>
      <c r="N655">
        <f t="shared" si="139"/>
        <v>192.71875471698118</v>
      </c>
    </row>
    <row r="656" spans="1:14" ht="25.5">
      <c r="A656" s="459"/>
      <c r="B656" s="472" t="s">
        <v>3264</v>
      </c>
      <c r="C656" s="209">
        <v>3.5</v>
      </c>
      <c r="D656" s="116"/>
      <c r="E656" s="59"/>
      <c r="F656" s="32"/>
      <c r="G656" s="19"/>
      <c r="H656" s="19"/>
      <c r="I656" s="19">
        <f>557.45*1.1*1.1</f>
        <v>674.5145000000001</v>
      </c>
      <c r="J656" s="19">
        <f t="shared" si="148"/>
        <v>795.9271100000001</v>
      </c>
      <c r="K656" s="489">
        <f>I656*97.36*1.101</f>
        <v>72303.47562372</v>
      </c>
      <c r="L656" s="369">
        <f>K656*1.18</f>
        <v>85318.1012359896</v>
      </c>
      <c r="M656" s="80">
        <v>557.45</v>
      </c>
      <c r="N656">
        <f t="shared" si="139"/>
        <v>192.7184285714286</v>
      </c>
    </row>
    <row r="657" spans="1:14" ht="25.5">
      <c r="A657" s="459"/>
      <c r="B657" s="472" t="s">
        <v>3265</v>
      </c>
      <c r="C657" s="209">
        <v>3.8</v>
      </c>
      <c r="D657" s="116"/>
      <c r="E657" s="59"/>
      <c r="F657" s="32"/>
      <c r="G657" s="19"/>
      <c r="H657" s="19"/>
      <c r="I657" s="19">
        <f>605.23*1.1*1.1</f>
        <v>732.3283000000001</v>
      </c>
      <c r="J657" s="19">
        <f t="shared" si="148"/>
        <v>864.1473940000001</v>
      </c>
      <c r="K657" s="489">
        <f>I657*97.36*1.101</f>
        <v>78500.73110008801</v>
      </c>
      <c r="L657" s="369">
        <f>K657*1.18</f>
        <v>92630.86269810385</v>
      </c>
      <c r="M657" s="80">
        <v>605.23</v>
      </c>
      <c r="N657">
        <f aca="true" t="shared" si="149" ref="N657:N716">I657/C657</f>
        <v>192.71797368421056</v>
      </c>
    </row>
    <row r="658" spans="1:14" ht="25.5">
      <c r="A658" s="459"/>
      <c r="B658" s="472" t="s">
        <v>3266</v>
      </c>
      <c r="C658" s="209">
        <v>4.1</v>
      </c>
      <c r="D658" s="116"/>
      <c r="E658" s="59"/>
      <c r="F658" s="32"/>
      <c r="G658" s="19"/>
      <c r="H658" s="19"/>
      <c r="I658" s="19">
        <f>653.01*1.1*1.1</f>
        <v>790.1421000000001</v>
      </c>
      <c r="J658" s="19">
        <f t="shared" si="148"/>
        <v>932.3676780000001</v>
      </c>
      <c r="K658" s="489">
        <f>I658*97.36*1.101</f>
        <v>84697.98657645601</v>
      </c>
      <c r="L658" s="369">
        <f>K658*1.18</f>
        <v>99943.62416021808</v>
      </c>
      <c r="M658" s="80">
        <v>653.01</v>
      </c>
      <c r="N658">
        <f t="shared" si="149"/>
        <v>192.71758536585372</v>
      </c>
    </row>
    <row r="659" spans="1:14" ht="25.5">
      <c r="A659" s="459"/>
      <c r="B659" s="472" t="s">
        <v>3267</v>
      </c>
      <c r="C659" s="209">
        <v>4.4</v>
      </c>
      <c r="D659" s="116"/>
      <c r="E659" s="59"/>
      <c r="F659" s="32"/>
      <c r="G659" s="19"/>
      <c r="H659" s="19"/>
      <c r="I659" s="19">
        <f>700.79*1.1*1.1</f>
        <v>847.9559000000002</v>
      </c>
      <c r="J659" s="19">
        <f t="shared" si="148"/>
        <v>1000.5879620000002</v>
      </c>
      <c r="K659" s="489">
        <f>I659*97.36*1.101</f>
        <v>90895.24205282402</v>
      </c>
      <c r="L659" s="369">
        <f>K659*1.18</f>
        <v>107256.38562233234</v>
      </c>
      <c r="M659" s="80">
        <v>700.79</v>
      </c>
      <c r="N659">
        <f t="shared" si="149"/>
        <v>192.71725</v>
      </c>
    </row>
    <row r="660" spans="1:14" ht="25.5">
      <c r="A660" s="459"/>
      <c r="B660" s="472" t="s">
        <v>3268</v>
      </c>
      <c r="C660" s="209">
        <v>4.7</v>
      </c>
      <c r="D660" s="116"/>
      <c r="E660" s="59"/>
      <c r="F660" s="32"/>
      <c r="G660" s="19"/>
      <c r="H660" s="19"/>
      <c r="I660" s="19">
        <f>748.57*1.1*1.1</f>
        <v>905.7697000000002</v>
      </c>
      <c r="J660" s="19">
        <f>I660*1.18</f>
        <v>1068.808246</v>
      </c>
      <c r="K660" s="489">
        <f>I660*97.36*1.101</f>
        <v>97092.49752919201</v>
      </c>
      <c r="L660" s="369">
        <f>K660*1.18</f>
        <v>114569.14708444657</v>
      </c>
      <c r="M660" s="80">
        <v>748.57</v>
      </c>
      <c r="N660">
        <f t="shared" si="149"/>
        <v>192.71695744680855</v>
      </c>
    </row>
    <row r="661" spans="1:14" ht="12.75">
      <c r="A661" s="483" t="s">
        <v>192</v>
      </c>
      <c r="B661" s="945" t="s">
        <v>2232</v>
      </c>
      <c r="C661" s="945"/>
      <c r="D661" s="945"/>
      <c r="E661" s="945"/>
      <c r="F661" s="945"/>
      <c r="G661" s="945"/>
      <c r="H661" s="945"/>
      <c r="I661" s="945"/>
      <c r="J661" s="945"/>
      <c r="K661" s="111"/>
      <c r="L661" s="111"/>
      <c r="M661" s="111"/>
      <c r="N661" t="e">
        <f t="shared" si="149"/>
        <v>#DIV/0!</v>
      </c>
    </row>
    <row r="662" spans="1:14" ht="12.75">
      <c r="A662" s="498" t="s">
        <v>193</v>
      </c>
      <c r="B662" s="499" t="s">
        <v>1548</v>
      </c>
      <c r="C662" s="74">
        <v>0.3</v>
      </c>
      <c r="D662" s="38">
        <v>149.17</v>
      </c>
      <c r="E662" s="57">
        <f aca="true" t="shared" si="150" ref="E662:E672">C662*97.36*1.101</f>
        <v>32.158007999999995</v>
      </c>
      <c r="F662" s="32">
        <f t="shared" si="143"/>
        <v>37.946449439999995</v>
      </c>
      <c r="G662" s="80">
        <f aca="true" t="shared" si="151" ref="G662:G672">E662*1.15*1.15</f>
        <v>42.52896557999998</v>
      </c>
      <c r="H662" s="19">
        <f aca="true" t="shared" si="152" ref="H662:H672">G662*1.18</f>
        <v>50.184179384399975</v>
      </c>
      <c r="I662" s="80">
        <f aca="true" t="shared" si="153" ref="I662:I672">G662*1.2*1.05*1.07*1.1*1.1</f>
        <v>69.37843718789675</v>
      </c>
      <c r="J662" s="19">
        <f>I662*1.18</f>
        <v>81.86655588171816</v>
      </c>
      <c r="K662" s="94">
        <f aca="true" t="shared" si="154" ref="K662:K672">I662/G662</f>
        <v>1.6313220000000004</v>
      </c>
      <c r="N662">
        <f t="shared" si="149"/>
        <v>231.26145729298918</v>
      </c>
    </row>
    <row r="663" spans="1:14" ht="12.75">
      <c r="A663" s="498" t="s">
        <v>194</v>
      </c>
      <c r="B663" s="499" t="s">
        <v>2531</v>
      </c>
      <c r="C663" s="74">
        <v>1</v>
      </c>
      <c r="D663" s="38">
        <v>99.45</v>
      </c>
      <c r="E663" s="57">
        <f t="shared" si="150"/>
        <v>107.19336</v>
      </c>
      <c r="F663" s="32">
        <f t="shared" si="143"/>
        <v>126.48816479999999</v>
      </c>
      <c r="G663" s="80">
        <f t="shared" si="151"/>
        <v>141.76321859999996</v>
      </c>
      <c r="H663" s="19">
        <f t="shared" si="152"/>
        <v>167.28059794799995</v>
      </c>
      <c r="I663" s="80">
        <f t="shared" si="153"/>
        <v>231.26145729298918</v>
      </c>
      <c r="J663" s="19">
        <f aca="true" t="shared" si="155" ref="J663:J671">I663*1.18</f>
        <v>272.8885196057272</v>
      </c>
      <c r="K663" s="94">
        <f t="shared" si="154"/>
        <v>1.6313220000000004</v>
      </c>
      <c r="N663">
        <f t="shared" si="149"/>
        <v>231.26145729298918</v>
      </c>
    </row>
    <row r="664" spans="1:14" ht="12.75">
      <c r="A664" s="498" t="s">
        <v>195</v>
      </c>
      <c r="B664" s="499" t="s">
        <v>1540</v>
      </c>
      <c r="C664" s="74">
        <v>0.5</v>
      </c>
      <c r="D664" s="38">
        <v>49.73</v>
      </c>
      <c r="E664" s="57">
        <f t="shared" si="150"/>
        <v>53.59668</v>
      </c>
      <c r="F664" s="32">
        <f t="shared" si="143"/>
        <v>63.244082399999996</v>
      </c>
      <c r="G664" s="80">
        <f t="shared" si="151"/>
        <v>70.88160929999998</v>
      </c>
      <c r="H664" s="19">
        <f t="shared" si="152"/>
        <v>83.64029897399998</v>
      </c>
      <c r="I664" s="80">
        <f t="shared" si="153"/>
        <v>115.63072864649459</v>
      </c>
      <c r="J664" s="19">
        <f>I664*1.18</f>
        <v>136.4442598028636</v>
      </c>
      <c r="K664" s="94">
        <f t="shared" si="154"/>
        <v>1.6313220000000004</v>
      </c>
      <c r="N664">
        <f t="shared" si="149"/>
        <v>231.26145729298918</v>
      </c>
    </row>
    <row r="665" spans="1:14" ht="25.5">
      <c r="A665" s="498" t="s">
        <v>196</v>
      </c>
      <c r="B665" s="499" t="s">
        <v>706</v>
      </c>
      <c r="C665" s="74">
        <v>3.5</v>
      </c>
      <c r="D665" s="38">
        <v>546.97</v>
      </c>
      <c r="E665" s="57">
        <f t="shared" si="150"/>
        <v>375.17676</v>
      </c>
      <c r="F665" s="32">
        <f t="shared" si="143"/>
        <v>442.7085768</v>
      </c>
      <c r="G665" s="80">
        <f t="shared" si="151"/>
        <v>496.1712650999999</v>
      </c>
      <c r="H665" s="19">
        <f t="shared" si="152"/>
        <v>585.4820928179998</v>
      </c>
      <c r="I665" s="80">
        <f t="shared" si="153"/>
        <v>809.4151005254622</v>
      </c>
      <c r="J665" s="19">
        <f t="shared" si="155"/>
        <v>955.1098186200453</v>
      </c>
      <c r="K665" s="94">
        <f t="shared" si="154"/>
        <v>1.6313220000000004</v>
      </c>
      <c r="N665">
        <f t="shared" si="149"/>
        <v>231.2614572929892</v>
      </c>
    </row>
    <row r="666" spans="1:14" ht="12.75">
      <c r="A666" s="498" t="s">
        <v>197</v>
      </c>
      <c r="B666" s="499" t="s">
        <v>1064</v>
      </c>
      <c r="C666" s="74">
        <v>3</v>
      </c>
      <c r="D666" s="38">
        <v>298.35</v>
      </c>
      <c r="E666" s="57">
        <f t="shared" si="150"/>
        <v>321.58007999999995</v>
      </c>
      <c r="F666" s="32">
        <f t="shared" si="143"/>
        <v>379.4644943999999</v>
      </c>
      <c r="G666" s="80">
        <f t="shared" si="151"/>
        <v>425.2896557999998</v>
      </c>
      <c r="H666" s="19">
        <f t="shared" si="152"/>
        <v>501.84179384399977</v>
      </c>
      <c r="I666" s="80">
        <f t="shared" si="153"/>
        <v>693.7843718789675</v>
      </c>
      <c r="J666" s="19">
        <f t="shared" si="155"/>
        <v>818.6655588171816</v>
      </c>
      <c r="K666" s="94">
        <f t="shared" si="154"/>
        <v>1.6313220000000004</v>
      </c>
      <c r="N666">
        <f t="shared" si="149"/>
        <v>231.26145729298915</v>
      </c>
    </row>
    <row r="667" spans="1:14" ht="12.75">
      <c r="A667" s="498" t="s">
        <v>198</v>
      </c>
      <c r="B667" s="499" t="s">
        <v>2533</v>
      </c>
      <c r="C667" s="74">
        <v>2.5</v>
      </c>
      <c r="D667" s="38">
        <v>248.63</v>
      </c>
      <c r="E667" s="57">
        <f t="shared" si="150"/>
        <v>267.9834</v>
      </c>
      <c r="F667" s="32">
        <f t="shared" si="143"/>
        <v>316.220412</v>
      </c>
      <c r="G667" s="80">
        <f t="shared" si="151"/>
        <v>354.40804649999995</v>
      </c>
      <c r="H667" s="19">
        <f t="shared" si="152"/>
        <v>418.2014948699999</v>
      </c>
      <c r="I667" s="80">
        <f t="shared" si="153"/>
        <v>578.1536432324731</v>
      </c>
      <c r="J667" s="19">
        <f t="shared" si="155"/>
        <v>682.2212990143182</v>
      </c>
      <c r="K667" s="94">
        <f t="shared" si="154"/>
        <v>1.6313220000000004</v>
      </c>
      <c r="N667">
        <f t="shared" si="149"/>
        <v>231.26145729298923</v>
      </c>
    </row>
    <row r="668" spans="1:14" ht="12.75">
      <c r="A668" s="498" t="s">
        <v>199</v>
      </c>
      <c r="B668" s="499" t="s">
        <v>2534</v>
      </c>
      <c r="C668" s="74">
        <v>2.5</v>
      </c>
      <c r="D668" s="38">
        <v>248.63</v>
      </c>
      <c r="E668" s="57">
        <f t="shared" si="150"/>
        <v>267.9834</v>
      </c>
      <c r="F668" s="32">
        <f t="shared" si="143"/>
        <v>316.220412</v>
      </c>
      <c r="G668" s="80">
        <f t="shared" si="151"/>
        <v>354.40804649999995</v>
      </c>
      <c r="H668" s="19">
        <f t="shared" si="152"/>
        <v>418.2014948699999</v>
      </c>
      <c r="I668" s="80">
        <f t="shared" si="153"/>
        <v>578.1536432324731</v>
      </c>
      <c r="J668" s="19">
        <f t="shared" si="155"/>
        <v>682.2212990143182</v>
      </c>
      <c r="K668" s="94">
        <f t="shared" si="154"/>
        <v>1.6313220000000004</v>
      </c>
      <c r="N668">
        <f t="shared" si="149"/>
        <v>231.26145729298923</v>
      </c>
    </row>
    <row r="669" spans="1:14" ht="12.75">
      <c r="A669" s="498" t="s">
        <v>200</v>
      </c>
      <c r="B669" s="499" t="s">
        <v>878</v>
      </c>
      <c r="C669" s="74">
        <v>2</v>
      </c>
      <c r="D669" s="38">
        <v>198.9</v>
      </c>
      <c r="E669" s="57">
        <f t="shared" si="150"/>
        <v>214.38672</v>
      </c>
      <c r="F669" s="32">
        <f t="shared" si="143"/>
        <v>252.97632959999999</v>
      </c>
      <c r="G669" s="80">
        <f t="shared" si="151"/>
        <v>283.5264371999999</v>
      </c>
      <c r="H669" s="19">
        <f t="shared" si="152"/>
        <v>334.5611958959999</v>
      </c>
      <c r="I669" s="80">
        <f t="shared" si="153"/>
        <v>462.52291458597836</v>
      </c>
      <c r="J669" s="19">
        <f t="shared" si="155"/>
        <v>545.7770392114544</v>
      </c>
      <c r="K669" s="94">
        <f t="shared" si="154"/>
        <v>1.6313220000000004</v>
      </c>
      <c r="N669">
        <f t="shared" si="149"/>
        <v>231.26145729298918</v>
      </c>
    </row>
    <row r="670" spans="1:14" ht="12.75">
      <c r="A670" s="498" t="s">
        <v>201</v>
      </c>
      <c r="B670" s="499" t="s">
        <v>798</v>
      </c>
      <c r="C670" s="74">
        <v>3</v>
      </c>
      <c r="D670" s="38">
        <v>298.35</v>
      </c>
      <c r="E670" s="57">
        <f t="shared" si="150"/>
        <v>321.58007999999995</v>
      </c>
      <c r="F670" s="32">
        <f t="shared" si="143"/>
        <v>379.4644943999999</v>
      </c>
      <c r="G670" s="80">
        <f t="shared" si="151"/>
        <v>425.2896557999998</v>
      </c>
      <c r="H670" s="19">
        <f t="shared" si="152"/>
        <v>501.84179384399977</v>
      </c>
      <c r="I670" s="80">
        <f t="shared" si="153"/>
        <v>693.7843718789675</v>
      </c>
      <c r="J670" s="19">
        <f t="shared" si="155"/>
        <v>818.6655588171816</v>
      </c>
      <c r="K670" s="94">
        <f t="shared" si="154"/>
        <v>1.6313220000000004</v>
      </c>
      <c r="N670">
        <f t="shared" si="149"/>
        <v>231.26145729298915</v>
      </c>
    </row>
    <row r="671" spans="1:14" ht="12.75">
      <c r="A671" s="498" t="s">
        <v>202</v>
      </c>
      <c r="B671" s="499" t="s">
        <v>1031</v>
      </c>
      <c r="C671" s="74">
        <v>2.5</v>
      </c>
      <c r="D671" s="38">
        <v>248.63</v>
      </c>
      <c r="E671" s="57">
        <f t="shared" si="150"/>
        <v>267.9834</v>
      </c>
      <c r="F671" s="32">
        <f t="shared" si="143"/>
        <v>316.220412</v>
      </c>
      <c r="G671" s="80">
        <f t="shared" si="151"/>
        <v>354.40804649999995</v>
      </c>
      <c r="H671" s="19">
        <f t="shared" si="152"/>
        <v>418.2014948699999</v>
      </c>
      <c r="I671" s="80">
        <f t="shared" si="153"/>
        <v>578.1536432324731</v>
      </c>
      <c r="J671" s="19">
        <f t="shared" si="155"/>
        <v>682.2212990143182</v>
      </c>
      <c r="K671" s="94">
        <f t="shared" si="154"/>
        <v>1.6313220000000004</v>
      </c>
      <c r="N671">
        <f t="shared" si="149"/>
        <v>231.26145729298923</v>
      </c>
    </row>
    <row r="672" spans="1:14" ht="12.75">
      <c r="A672" s="498" t="s">
        <v>203</v>
      </c>
      <c r="B672" s="499" t="s">
        <v>2224</v>
      </c>
      <c r="C672" s="74">
        <v>1.5</v>
      </c>
      <c r="D672" s="38">
        <v>149.17</v>
      </c>
      <c r="E672" s="57">
        <f t="shared" si="150"/>
        <v>160.79003999999998</v>
      </c>
      <c r="F672" s="32">
        <f t="shared" si="143"/>
        <v>189.73224719999996</v>
      </c>
      <c r="G672" s="80">
        <f t="shared" si="151"/>
        <v>212.6448278999999</v>
      </c>
      <c r="H672" s="19">
        <f t="shared" si="152"/>
        <v>250.92089692199988</v>
      </c>
      <c r="I672" s="80">
        <f t="shared" si="153"/>
        <v>346.89218593948374</v>
      </c>
      <c r="J672" s="19">
        <f>I672*1.18</f>
        <v>409.3327794085908</v>
      </c>
      <c r="K672" s="94">
        <f t="shared" si="154"/>
        <v>1.6313220000000004</v>
      </c>
      <c r="N672">
        <f t="shared" si="149"/>
        <v>231.26145729298915</v>
      </c>
    </row>
    <row r="673" spans="1:14" ht="38.25">
      <c r="A673" s="481" t="s">
        <v>3269</v>
      </c>
      <c r="B673" s="482" t="s">
        <v>3037</v>
      </c>
      <c r="C673" s="207">
        <v>3.5</v>
      </c>
      <c r="D673" s="19">
        <v>669.95</v>
      </c>
      <c r="E673" s="19">
        <v>789.36</v>
      </c>
      <c r="F673" s="32"/>
      <c r="G673" s="19"/>
      <c r="H673" s="19"/>
      <c r="I673" s="19">
        <f>735.83*1.1</f>
        <v>809.4130000000001</v>
      </c>
      <c r="J673" s="19">
        <f>I673*1.18</f>
        <v>955.1073400000001</v>
      </c>
      <c r="K673" s="94"/>
      <c r="N673">
        <f t="shared" si="149"/>
        <v>231.2608571428572</v>
      </c>
    </row>
    <row r="674" spans="1:14" ht="12.75">
      <c r="A674" s="483" t="s">
        <v>204</v>
      </c>
      <c r="B674" s="945" t="s">
        <v>2233</v>
      </c>
      <c r="C674" s="945"/>
      <c r="D674" s="945"/>
      <c r="E674" s="945"/>
      <c r="F674" s="945"/>
      <c r="G674" s="945"/>
      <c r="H674" s="945"/>
      <c r="I674" s="945"/>
      <c r="J674" s="945"/>
      <c r="K674" s="111"/>
      <c r="L674" s="111"/>
      <c r="M674" s="111"/>
      <c r="N674" t="e">
        <f t="shared" si="149"/>
        <v>#DIV/0!</v>
      </c>
    </row>
    <row r="675" spans="1:14" ht="12.75">
      <c r="A675" s="498" t="s">
        <v>205</v>
      </c>
      <c r="B675" s="499" t="s">
        <v>1548</v>
      </c>
      <c r="C675" s="74">
        <v>0.3</v>
      </c>
      <c r="D675" s="38">
        <v>149.17</v>
      </c>
      <c r="E675" s="57">
        <f>C675*97.36*1.101</f>
        <v>32.158007999999995</v>
      </c>
      <c r="F675" s="32">
        <f t="shared" si="143"/>
        <v>37.946449439999995</v>
      </c>
      <c r="G675" s="80">
        <f>E675*1.15*1.15</f>
        <v>42.52896557999998</v>
      </c>
      <c r="H675" s="19">
        <f>G675*1.18</f>
        <v>50.184179384399975</v>
      </c>
      <c r="I675" s="80">
        <f>G675*1.2*1.05*1.07*1.1*1.1</f>
        <v>69.37843718789675</v>
      </c>
      <c r="J675" s="19">
        <f>I675*1.18</f>
        <v>81.86655588171816</v>
      </c>
      <c r="K675" s="94">
        <f>I675/G675</f>
        <v>1.6313220000000004</v>
      </c>
      <c r="N675">
        <f t="shared" si="149"/>
        <v>231.26145729298918</v>
      </c>
    </row>
    <row r="676" spans="1:14" ht="12.75">
      <c r="A676" s="498" t="s">
        <v>206</v>
      </c>
      <c r="B676" s="499" t="s">
        <v>2531</v>
      </c>
      <c r="C676" s="74">
        <v>0.5</v>
      </c>
      <c r="D676" s="38">
        <v>99.45</v>
      </c>
      <c r="E676" s="57">
        <f>C676*97.36*1.101</f>
        <v>53.59668</v>
      </c>
      <c r="F676" s="32">
        <f t="shared" si="143"/>
        <v>63.244082399999996</v>
      </c>
      <c r="G676" s="80">
        <f>E676*1.15*1.15</f>
        <v>70.88160929999998</v>
      </c>
      <c r="H676" s="19">
        <f>G676*1.18</f>
        <v>83.64029897399998</v>
      </c>
      <c r="I676" s="80">
        <f>G676*1.2*1.05*1.07*1.1*1.1</f>
        <v>115.63072864649459</v>
      </c>
      <c r="J676" s="19">
        <f>I676*1.18</f>
        <v>136.4442598028636</v>
      </c>
      <c r="K676" s="94">
        <f>I676/G676</f>
        <v>1.6313220000000004</v>
      </c>
      <c r="N676">
        <f t="shared" si="149"/>
        <v>231.26145729298918</v>
      </c>
    </row>
    <row r="677" spans="1:14" ht="12.75">
      <c r="A677" s="498" t="s">
        <v>207</v>
      </c>
      <c r="B677" s="499" t="s">
        <v>1540</v>
      </c>
      <c r="C677" s="74">
        <v>0.5</v>
      </c>
      <c r="D677" s="38">
        <v>49.73</v>
      </c>
      <c r="E677" s="57">
        <f>C677*97.36*1.101</f>
        <v>53.59668</v>
      </c>
      <c r="F677" s="32">
        <f t="shared" si="143"/>
        <v>63.244082399999996</v>
      </c>
      <c r="G677" s="80">
        <f>E677*1.15*1.15</f>
        <v>70.88160929999998</v>
      </c>
      <c r="H677" s="19">
        <f>G677*1.18</f>
        <v>83.64029897399998</v>
      </c>
      <c r="I677" s="80">
        <f>G677*1.2*1.05*1.07*1.1*1.1</f>
        <v>115.63072864649459</v>
      </c>
      <c r="J677" s="19">
        <f>I677*1.18</f>
        <v>136.4442598028636</v>
      </c>
      <c r="K677" s="94">
        <f>I677/G677</f>
        <v>1.6313220000000004</v>
      </c>
      <c r="N677">
        <f t="shared" si="149"/>
        <v>231.26145729298918</v>
      </c>
    </row>
    <row r="678" spans="1:14" ht="25.5">
      <c r="A678" s="498" t="s">
        <v>208</v>
      </c>
      <c r="B678" s="499" t="s">
        <v>706</v>
      </c>
      <c r="C678" s="74">
        <v>3.5</v>
      </c>
      <c r="D678" s="38">
        <v>546.97</v>
      </c>
      <c r="E678" s="57">
        <f>C678*97.36*1.101</f>
        <v>375.17676</v>
      </c>
      <c r="F678" s="32">
        <f t="shared" si="143"/>
        <v>442.7085768</v>
      </c>
      <c r="G678" s="80">
        <f>E678*1.15*1.15</f>
        <v>496.1712650999999</v>
      </c>
      <c r="H678" s="19">
        <f>G678*1.18</f>
        <v>585.4820928179998</v>
      </c>
      <c r="I678" s="80">
        <f>G678*1.2*1.05*1.07*1.1*1.1</f>
        <v>809.4151005254622</v>
      </c>
      <c r="J678" s="19">
        <f>I678*1.18</f>
        <v>955.1098186200453</v>
      </c>
      <c r="K678" s="94">
        <f>I678/G678</f>
        <v>1.6313220000000004</v>
      </c>
      <c r="N678">
        <f t="shared" si="149"/>
        <v>231.2614572929892</v>
      </c>
    </row>
    <row r="679" spans="1:14" ht="38.25">
      <c r="A679" s="481" t="s">
        <v>3270</v>
      </c>
      <c r="B679" s="482" t="s">
        <v>3037</v>
      </c>
      <c r="C679" s="207">
        <v>3.5</v>
      </c>
      <c r="D679" s="19">
        <v>669.95</v>
      </c>
      <c r="E679" s="19">
        <v>789.36</v>
      </c>
      <c r="F679" s="32"/>
      <c r="G679" s="19"/>
      <c r="H679" s="19"/>
      <c r="I679" s="19">
        <f>735.83*1.1</f>
        <v>809.4130000000001</v>
      </c>
      <c r="J679" s="19">
        <f>I679*1.18</f>
        <v>955.1073400000001</v>
      </c>
      <c r="K679" s="94"/>
      <c r="N679">
        <f t="shared" si="149"/>
        <v>231.2608571428572</v>
      </c>
    </row>
    <row r="680" spans="1:14" ht="12.75">
      <c r="A680" s="483" t="s">
        <v>209</v>
      </c>
      <c r="B680" s="946" t="s">
        <v>2234</v>
      </c>
      <c r="C680" s="946"/>
      <c r="D680" s="946"/>
      <c r="E680" s="946"/>
      <c r="F680" s="946"/>
      <c r="G680" s="946"/>
      <c r="H680" s="946"/>
      <c r="I680" s="946"/>
      <c r="J680" s="946"/>
      <c r="K680" s="111"/>
      <c r="L680" s="111"/>
      <c r="M680" s="111"/>
      <c r="N680" t="e">
        <f t="shared" si="149"/>
        <v>#DIV/0!</v>
      </c>
    </row>
    <row r="681" spans="1:14" ht="12.75">
      <c r="A681" s="498" t="s">
        <v>210</v>
      </c>
      <c r="B681" s="499" t="s">
        <v>1548</v>
      </c>
      <c r="C681" s="74">
        <v>0.3</v>
      </c>
      <c r="D681" s="38" t="s">
        <v>1494</v>
      </c>
      <c r="E681" s="57">
        <f>C681*97.36*1.101</f>
        <v>32.158007999999995</v>
      </c>
      <c r="F681" s="32">
        <f t="shared" si="143"/>
        <v>37.946449439999995</v>
      </c>
      <c r="G681" s="80">
        <f>E681*1.15*1.15</f>
        <v>42.52896557999998</v>
      </c>
      <c r="H681" s="19">
        <f>G681*1.18</f>
        <v>50.184179384399975</v>
      </c>
      <c r="I681" s="80">
        <f>G681*1.2*1.05*1.07*1.1*1.1</f>
        <v>69.37843718789675</v>
      </c>
      <c r="J681" s="19">
        <f aca="true" t="shared" si="156" ref="J681:J686">I681*1.18</f>
        <v>81.86655588171816</v>
      </c>
      <c r="K681" s="94">
        <f>I681/G681</f>
        <v>1.6313220000000004</v>
      </c>
      <c r="N681">
        <f t="shared" si="149"/>
        <v>231.26145729298918</v>
      </c>
    </row>
    <row r="682" spans="1:14" ht="12.75">
      <c r="A682" s="498" t="s">
        <v>211</v>
      </c>
      <c r="B682" s="499" t="s">
        <v>2531</v>
      </c>
      <c r="C682" s="74">
        <v>0.5</v>
      </c>
      <c r="D682" s="38" t="s">
        <v>1055</v>
      </c>
      <c r="E682" s="57">
        <f>C682*97.36*1.101</f>
        <v>53.59668</v>
      </c>
      <c r="F682" s="32">
        <f t="shared" si="143"/>
        <v>63.244082399999996</v>
      </c>
      <c r="G682" s="80">
        <f>E682*1.15*1.15</f>
        <v>70.88160929999998</v>
      </c>
      <c r="H682" s="19">
        <f>G682*1.18</f>
        <v>83.64029897399998</v>
      </c>
      <c r="I682" s="80">
        <f>G682*1.2*1.05*1.07*1.1*1.1</f>
        <v>115.63072864649459</v>
      </c>
      <c r="J682" s="19">
        <f t="shared" si="156"/>
        <v>136.4442598028636</v>
      </c>
      <c r="K682" s="94">
        <f>I682/G682</f>
        <v>1.6313220000000004</v>
      </c>
      <c r="N682">
        <f t="shared" si="149"/>
        <v>231.26145729298918</v>
      </c>
    </row>
    <row r="683" spans="1:14" ht="12.75">
      <c r="A683" s="498" t="s">
        <v>212</v>
      </c>
      <c r="B683" s="499" t="s">
        <v>1540</v>
      </c>
      <c r="C683" s="74" t="s">
        <v>1057</v>
      </c>
      <c r="D683" s="38" t="s">
        <v>1058</v>
      </c>
      <c r="E683" s="57">
        <f>C683*97.36*1.101</f>
        <v>53.59668</v>
      </c>
      <c r="F683" s="32">
        <f t="shared" si="143"/>
        <v>63.244082399999996</v>
      </c>
      <c r="G683" s="80">
        <f>E683*1.15*1.15</f>
        <v>70.88160929999998</v>
      </c>
      <c r="H683" s="19">
        <f>G683*1.18</f>
        <v>83.64029897399998</v>
      </c>
      <c r="I683" s="80">
        <f>G683*1.2*1.05*1.07*1.1*1.1</f>
        <v>115.63072864649459</v>
      </c>
      <c r="J683" s="19">
        <f t="shared" si="156"/>
        <v>136.4442598028636</v>
      </c>
      <c r="K683" s="94">
        <f>I683/G683</f>
        <v>1.6313220000000004</v>
      </c>
      <c r="N683">
        <f t="shared" si="149"/>
        <v>231.26145729298918</v>
      </c>
    </row>
    <row r="684" spans="1:14" ht="25.5">
      <c r="A684" s="498" t="s">
        <v>213</v>
      </c>
      <c r="B684" s="499" t="s">
        <v>706</v>
      </c>
      <c r="C684" s="74">
        <v>3.5</v>
      </c>
      <c r="D684" s="38" t="s">
        <v>1539</v>
      </c>
      <c r="E684" s="57">
        <f>C684*97.36*1.101</f>
        <v>375.17676</v>
      </c>
      <c r="F684" s="32">
        <f t="shared" si="143"/>
        <v>442.7085768</v>
      </c>
      <c r="G684" s="80">
        <f>E684*1.15*1.15</f>
        <v>496.1712650999999</v>
      </c>
      <c r="H684" s="19">
        <f>G684*1.18</f>
        <v>585.4820928179998</v>
      </c>
      <c r="I684" s="80">
        <f>735.83*1.1</f>
        <v>809.4130000000001</v>
      </c>
      <c r="J684" s="19">
        <f t="shared" si="156"/>
        <v>955.1073400000001</v>
      </c>
      <c r="K684" s="94">
        <f>I684/G684</f>
        <v>1.6313177665314182</v>
      </c>
      <c r="N684">
        <f t="shared" si="149"/>
        <v>231.2608571428572</v>
      </c>
    </row>
    <row r="685" spans="1:14" ht="12.75">
      <c r="A685" s="498" t="s">
        <v>214</v>
      </c>
      <c r="B685" s="499" t="s">
        <v>2235</v>
      </c>
      <c r="C685" s="74">
        <v>1.2</v>
      </c>
      <c r="D685" s="38">
        <v>298.35</v>
      </c>
      <c r="E685" s="57">
        <f>C685*97.36*1.101</f>
        <v>128.63203199999998</v>
      </c>
      <c r="F685" s="32">
        <f t="shared" si="143"/>
        <v>151.78579775999998</v>
      </c>
      <c r="G685" s="80">
        <f>E685*1.15*1.15</f>
        <v>170.11586231999993</v>
      </c>
      <c r="H685" s="19">
        <f>G685*1.18</f>
        <v>200.7367175375999</v>
      </c>
      <c r="I685" s="80">
        <f>G685*1.2*1.05*1.07*1.1*1.1</f>
        <v>277.513748751587</v>
      </c>
      <c r="J685" s="19">
        <f t="shared" si="156"/>
        <v>327.4662235268726</v>
      </c>
      <c r="K685" s="94">
        <f>I685/G685</f>
        <v>1.6313220000000004</v>
      </c>
      <c r="N685">
        <f t="shared" si="149"/>
        <v>231.26145729298918</v>
      </c>
    </row>
    <row r="686" spans="1:14" ht="38.25">
      <c r="A686" s="481" t="s">
        <v>3271</v>
      </c>
      <c r="B686" s="482" t="s">
        <v>3037</v>
      </c>
      <c r="C686" s="207">
        <v>3.5</v>
      </c>
      <c r="D686" s="19">
        <v>669.95</v>
      </c>
      <c r="E686" s="19">
        <v>789.36</v>
      </c>
      <c r="F686" s="32"/>
      <c r="G686" s="19"/>
      <c r="H686" s="19"/>
      <c r="I686" s="19">
        <f>735.83*1.1</f>
        <v>809.4130000000001</v>
      </c>
      <c r="J686" s="19">
        <f t="shared" si="156"/>
        <v>955.1073400000001</v>
      </c>
      <c r="K686" s="94"/>
      <c r="N686">
        <f t="shared" si="149"/>
        <v>231.2608571428572</v>
      </c>
    </row>
    <row r="687" spans="1:14" ht="12.75">
      <c r="A687" s="498"/>
      <c r="B687" s="499"/>
      <c r="C687" s="74"/>
      <c r="D687" s="38"/>
      <c r="E687" s="57"/>
      <c r="F687" s="32"/>
      <c r="G687" s="80"/>
      <c r="H687" s="19"/>
      <c r="I687" s="80"/>
      <c r="J687" s="19"/>
      <c r="K687" s="94"/>
      <c r="N687" t="e">
        <f t="shared" si="149"/>
        <v>#DIV/0!</v>
      </c>
    </row>
    <row r="688" spans="1:14" ht="15.75">
      <c r="A688" s="944" t="s">
        <v>215</v>
      </c>
      <c r="B688" s="944"/>
      <c r="C688" s="944"/>
      <c r="D688" s="944"/>
      <c r="E688" s="944"/>
      <c r="F688" s="944"/>
      <c r="G688" s="944"/>
      <c r="H688" s="944"/>
      <c r="I688" s="944"/>
      <c r="J688" s="944"/>
      <c r="N688" t="e">
        <f t="shared" si="149"/>
        <v>#DIV/0!</v>
      </c>
    </row>
    <row r="689" spans="1:14" ht="12.75">
      <c r="A689" s="483" t="s">
        <v>968</v>
      </c>
      <c r="B689" s="945" t="s">
        <v>856</v>
      </c>
      <c r="C689" s="945"/>
      <c r="D689" s="945"/>
      <c r="E689" s="945"/>
      <c r="F689" s="945"/>
      <c r="G689" s="945"/>
      <c r="H689" s="945"/>
      <c r="I689" s="945"/>
      <c r="J689" s="945"/>
      <c r="K689" s="111"/>
      <c r="L689" s="111"/>
      <c r="M689" s="111"/>
      <c r="N689" t="e">
        <f t="shared" si="149"/>
        <v>#DIV/0!</v>
      </c>
    </row>
    <row r="690" spans="1:14" ht="12.75">
      <c r="A690" s="500"/>
      <c r="B690" s="511" t="s">
        <v>857</v>
      </c>
      <c r="C690" s="207">
        <v>1.5</v>
      </c>
      <c r="D690" s="484">
        <v>149.17</v>
      </c>
      <c r="E690" s="59">
        <f>C690*97.36*1.101</f>
        <v>160.79003999999998</v>
      </c>
      <c r="F690" s="32">
        <f t="shared" si="143"/>
        <v>189.73224719999996</v>
      </c>
      <c r="G690" s="19">
        <f>E690*1.15*1.15</f>
        <v>212.6448278999999</v>
      </c>
      <c r="H690" s="19">
        <f>G690*1.18</f>
        <v>250.92089692199988</v>
      </c>
      <c r="I690" s="19">
        <f>I691+I692+I693</f>
        <v>346.89218593948374</v>
      </c>
      <c r="J690" s="19">
        <f>I690*1.18</f>
        <v>409.3327794085908</v>
      </c>
      <c r="K690" s="94">
        <f aca="true" t="shared" si="157" ref="K690:K707">I690/G690</f>
        <v>1.6313220000000004</v>
      </c>
      <c r="N690">
        <f t="shared" si="149"/>
        <v>231.26145729298915</v>
      </c>
    </row>
    <row r="691" spans="1:14" ht="12.75">
      <c r="A691" s="498" t="s">
        <v>216</v>
      </c>
      <c r="B691" s="499" t="s">
        <v>858</v>
      </c>
      <c r="C691" s="74">
        <v>0.25</v>
      </c>
      <c r="D691" s="38">
        <v>24.86</v>
      </c>
      <c r="E691" s="57">
        <f>C691*97.36*1.101</f>
        <v>26.79834</v>
      </c>
      <c r="F691" s="32">
        <f t="shared" si="143"/>
        <v>31.622041199999998</v>
      </c>
      <c r="G691" s="80">
        <f>E691*1.15*1.15</f>
        <v>35.44080464999999</v>
      </c>
      <c r="H691" s="19">
        <f>G691*1.18</f>
        <v>41.82014948699999</v>
      </c>
      <c r="I691" s="80">
        <f>G691*1.2*1.05*1.07*1.1*1.1</f>
        <v>57.815364323247294</v>
      </c>
      <c r="J691" s="19">
        <f>I691*1.18</f>
        <v>68.2221299014318</v>
      </c>
      <c r="K691" s="94">
        <f t="shared" si="157"/>
        <v>1.6313220000000004</v>
      </c>
      <c r="N691">
        <f t="shared" si="149"/>
        <v>231.26145729298918</v>
      </c>
    </row>
    <row r="692" spans="1:14" ht="38.25">
      <c r="A692" s="498" t="s">
        <v>217</v>
      </c>
      <c r="B692" s="499" t="s">
        <v>859</v>
      </c>
      <c r="C692" s="74">
        <v>0.25</v>
      </c>
      <c r="D692" s="38">
        <v>24.86</v>
      </c>
      <c r="E692" s="57">
        <f>C692*97.36*1.101</f>
        <v>26.79834</v>
      </c>
      <c r="F692" s="32">
        <f t="shared" si="143"/>
        <v>31.622041199999998</v>
      </c>
      <c r="G692" s="80">
        <f>E692*1.15*1.15</f>
        <v>35.44080464999999</v>
      </c>
      <c r="H692" s="19">
        <f>G692*1.18</f>
        <v>41.82014948699999</v>
      </c>
      <c r="I692" s="80">
        <f>G692*1.2*1.05*1.07*1.1*1.1</f>
        <v>57.815364323247294</v>
      </c>
      <c r="J692" s="19">
        <f>I692*1.18</f>
        <v>68.2221299014318</v>
      </c>
      <c r="K692" s="94">
        <f t="shared" si="157"/>
        <v>1.6313220000000004</v>
      </c>
      <c r="N692">
        <f t="shared" si="149"/>
        <v>231.26145729298918</v>
      </c>
    </row>
    <row r="693" spans="1:14" ht="12.75">
      <c r="A693" s="498" t="s">
        <v>218</v>
      </c>
      <c r="B693" s="499" t="s">
        <v>860</v>
      </c>
      <c r="C693" s="74">
        <v>1</v>
      </c>
      <c r="D693" s="38">
        <v>99.45</v>
      </c>
      <c r="E693" s="57">
        <f>C693*97.36*1.101</f>
        <v>107.19336</v>
      </c>
      <c r="F693" s="32">
        <f t="shared" si="143"/>
        <v>126.48816479999999</v>
      </c>
      <c r="G693" s="80">
        <f>E693*1.15*1.15</f>
        <v>141.76321859999996</v>
      </c>
      <c r="H693" s="19">
        <f>G693*1.18</f>
        <v>167.28059794799995</v>
      </c>
      <c r="I693" s="80">
        <f>G693*1.2*1.05*1.07*1.1*1.1</f>
        <v>231.26145729298918</v>
      </c>
      <c r="J693" s="19">
        <f>I693*1.18</f>
        <v>272.8885196057272</v>
      </c>
      <c r="K693" s="94">
        <f t="shared" si="157"/>
        <v>1.6313220000000004</v>
      </c>
      <c r="N693">
        <f t="shared" si="149"/>
        <v>231.26145729298918</v>
      </c>
    </row>
    <row r="694" spans="1:14" ht="12.75">
      <c r="A694" s="483" t="s">
        <v>969</v>
      </c>
      <c r="B694" s="945" t="s">
        <v>1092</v>
      </c>
      <c r="C694" s="945"/>
      <c r="D694" s="945"/>
      <c r="E694" s="945"/>
      <c r="F694" s="945"/>
      <c r="G694" s="945"/>
      <c r="H694" s="945"/>
      <c r="I694" s="945"/>
      <c r="J694" s="945"/>
      <c r="K694" s="111"/>
      <c r="L694" s="111"/>
      <c r="M694" s="111"/>
      <c r="N694" t="e">
        <f t="shared" si="149"/>
        <v>#DIV/0!</v>
      </c>
    </row>
    <row r="695" spans="1:14" ht="12.75">
      <c r="A695" s="500"/>
      <c r="B695" s="511" t="s">
        <v>857</v>
      </c>
      <c r="C695" s="207">
        <v>5</v>
      </c>
      <c r="D695" s="484">
        <v>497.25</v>
      </c>
      <c r="E695" s="59">
        <f aca="true" t="shared" si="158" ref="E695:E707">C695*97.36*1.101</f>
        <v>535.9668</v>
      </c>
      <c r="F695" s="32">
        <f t="shared" si="143"/>
        <v>632.440824</v>
      </c>
      <c r="G695" s="19">
        <f>E695*1.15*1.15</f>
        <v>708.8160929999999</v>
      </c>
      <c r="H695" s="19">
        <f aca="true" t="shared" si="159" ref="H695:J707">G695*1.18</f>
        <v>836.4029897399998</v>
      </c>
      <c r="I695" s="19">
        <f>I696+I697+I698+I699+I700+I701+I702+I703+I704+I705+I706+I707</f>
        <v>1156.3072864649462</v>
      </c>
      <c r="J695" s="19">
        <f>I695*1.18</f>
        <v>1364.4425980286364</v>
      </c>
      <c r="K695" s="94">
        <f t="shared" si="157"/>
        <v>1.6313220000000004</v>
      </c>
      <c r="N695">
        <f t="shared" si="149"/>
        <v>231.26145729298923</v>
      </c>
    </row>
    <row r="696" spans="1:14" ht="12.75">
      <c r="A696" s="500" t="s">
        <v>219</v>
      </c>
      <c r="B696" s="499" t="s">
        <v>1093</v>
      </c>
      <c r="C696" s="204">
        <v>1</v>
      </c>
      <c r="D696" s="39">
        <v>99.45</v>
      </c>
      <c r="E696" s="57">
        <f t="shared" si="158"/>
        <v>107.19336</v>
      </c>
      <c r="F696" s="32">
        <f t="shared" si="143"/>
        <v>126.48816479999999</v>
      </c>
      <c r="G696" s="80">
        <f aca="true" t="shared" si="160" ref="G696:G707">E696*1.15*1.15</f>
        <v>141.76321859999996</v>
      </c>
      <c r="H696" s="19">
        <f t="shared" si="159"/>
        <v>167.28059794799995</v>
      </c>
      <c r="I696" s="80">
        <f aca="true" t="shared" si="161" ref="I696:I707">G696*1.2*1.05*1.07*1.1*1.1</f>
        <v>231.26145729298918</v>
      </c>
      <c r="J696" s="19">
        <f t="shared" si="159"/>
        <v>272.8885196057272</v>
      </c>
      <c r="K696" s="94">
        <f t="shared" si="157"/>
        <v>1.6313220000000004</v>
      </c>
      <c r="N696">
        <f t="shared" si="149"/>
        <v>231.26145729298918</v>
      </c>
    </row>
    <row r="697" spans="1:14" ht="12.75">
      <c r="A697" s="498" t="s">
        <v>220</v>
      </c>
      <c r="B697" s="499" t="s">
        <v>1094</v>
      </c>
      <c r="C697" s="74">
        <v>0.35</v>
      </c>
      <c r="D697" s="38">
        <v>34.81</v>
      </c>
      <c r="E697" s="57">
        <f t="shared" si="158"/>
        <v>37.517676</v>
      </c>
      <c r="F697" s="32">
        <f t="shared" si="143"/>
        <v>44.27085768</v>
      </c>
      <c r="G697" s="80">
        <f t="shared" si="160"/>
        <v>49.61712651</v>
      </c>
      <c r="H697" s="19">
        <f t="shared" si="159"/>
        <v>58.5482092818</v>
      </c>
      <c r="I697" s="80">
        <f t="shared" si="161"/>
        <v>80.94151005254625</v>
      </c>
      <c r="J697" s="19">
        <f t="shared" si="159"/>
        <v>95.51098186200457</v>
      </c>
      <c r="K697" s="94">
        <f t="shared" si="157"/>
        <v>1.6313220000000006</v>
      </c>
      <c r="N697">
        <f t="shared" si="149"/>
        <v>231.2614572929893</v>
      </c>
    </row>
    <row r="698" spans="1:14" ht="25.5">
      <c r="A698" s="498" t="s">
        <v>221</v>
      </c>
      <c r="B698" s="499" t="s">
        <v>1095</v>
      </c>
      <c r="C698" s="74">
        <v>0.35</v>
      </c>
      <c r="D698" s="38">
        <v>34.81</v>
      </c>
      <c r="E698" s="57">
        <f t="shared" si="158"/>
        <v>37.517676</v>
      </c>
      <c r="F698" s="32">
        <f t="shared" si="143"/>
        <v>44.27085768</v>
      </c>
      <c r="G698" s="80">
        <f t="shared" si="160"/>
        <v>49.61712651</v>
      </c>
      <c r="H698" s="19">
        <f t="shared" si="159"/>
        <v>58.5482092818</v>
      </c>
      <c r="I698" s="80">
        <f t="shared" si="161"/>
        <v>80.94151005254625</v>
      </c>
      <c r="J698" s="19">
        <f t="shared" si="159"/>
        <v>95.51098186200457</v>
      </c>
      <c r="K698" s="94">
        <f t="shared" si="157"/>
        <v>1.6313220000000006</v>
      </c>
      <c r="N698">
        <f t="shared" si="149"/>
        <v>231.2614572929893</v>
      </c>
    </row>
    <row r="699" spans="1:14" ht="12.75">
      <c r="A699" s="498" t="s">
        <v>222</v>
      </c>
      <c r="B699" s="499" t="s">
        <v>1096</v>
      </c>
      <c r="C699" s="74">
        <v>0.1</v>
      </c>
      <c r="D699" s="38">
        <v>9.94</v>
      </c>
      <c r="E699" s="57">
        <f t="shared" si="158"/>
        <v>10.719336</v>
      </c>
      <c r="F699" s="32">
        <f t="shared" si="143"/>
        <v>12.648816479999999</v>
      </c>
      <c r="G699" s="80">
        <f t="shared" si="160"/>
        <v>14.176321859999998</v>
      </c>
      <c r="H699" s="19">
        <f t="shared" si="159"/>
        <v>16.728059794799996</v>
      </c>
      <c r="I699" s="80">
        <f t="shared" si="161"/>
        <v>23.12614572929892</v>
      </c>
      <c r="J699" s="19">
        <f t="shared" si="159"/>
        <v>27.288851960572725</v>
      </c>
      <c r="K699" s="94">
        <f t="shared" si="157"/>
        <v>1.6313220000000002</v>
      </c>
      <c r="N699">
        <f t="shared" si="149"/>
        <v>231.26145729298918</v>
      </c>
    </row>
    <row r="700" spans="1:14" ht="12.75">
      <c r="A700" s="498" t="s">
        <v>223</v>
      </c>
      <c r="B700" s="499" t="s">
        <v>1097</v>
      </c>
      <c r="C700" s="74">
        <v>0.1</v>
      </c>
      <c r="D700" s="38">
        <v>9.94</v>
      </c>
      <c r="E700" s="57">
        <f t="shared" si="158"/>
        <v>10.719336</v>
      </c>
      <c r="F700" s="32">
        <f t="shared" si="143"/>
        <v>12.648816479999999</v>
      </c>
      <c r="G700" s="80">
        <f t="shared" si="160"/>
        <v>14.176321859999998</v>
      </c>
      <c r="H700" s="19">
        <f t="shared" si="159"/>
        <v>16.728059794799996</v>
      </c>
      <c r="I700" s="80">
        <f t="shared" si="161"/>
        <v>23.12614572929892</v>
      </c>
      <c r="J700" s="19">
        <f t="shared" si="159"/>
        <v>27.288851960572725</v>
      </c>
      <c r="K700" s="94">
        <f t="shared" si="157"/>
        <v>1.6313220000000002</v>
      </c>
      <c r="N700">
        <f t="shared" si="149"/>
        <v>231.26145729298918</v>
      </c>
    </row>
    <row r="701" spans="1:14" ht="12.75">
      <c r="A701" s="498" t="s">
        <v>224</v>
      </c>
      <c r="B701" s="499" t="s">
        <v>409</v>
      </c>
      <c r="C701" s="74">
        <v>0.25</v>
      </c>
      <c r="D701" s="38">
        <v>24.86</v>
      </c>
      <c r="E701" s="57">
        <f t="shared" si="158"/>
        <v>26.79834</v>
      </c>
      <c r="F701" s="32">
        <f t="shared" si="143"/>
        <v>31.622041199999998</v>
      </c>
      <c r="G701" s="80">
        <f t="shared" si="160"/>
        <v>35.44080464999999</v>
      </c>
      <c r="H701" s="19">
        <f t="shared" si="159"/>
        <v>41.82014948699999</v>
      </c>
      <c r="I701" s="80">
        <f t="shared" si="161"/>
        <v>57.815364323247294</v>
      </c>
      <c r="J701" s="19">
        <f t="shared" si="159"/>
        <v>68.2221299014318</v>
      </c>
      <c r="K701" s="94">
        <f t="shared" si="157"/>
        <v>1.6313220000000004</v>
      </c>
      <c r="N701">
        <f t="shared" si="149"/>
        <v>231.26145729298918</v>
      </c>
    </row>
    <row r="702" spans="1:14" ht="12.75">
      <c r="A702" s="498" t="s">
        <v>225</v>
      </c>
      <c r="B702" s="499" t="s">
        <v>410</v>
      </c>
      <c r="C702" s="74">
        <v>0.5</v>
      </c>
      <c r="D702" s="38">
        <v>49.72</v>
      </c>
      <c r="E702" s="57">
        <f t="shared" si="158"/>
        <v>53.59668</v>
      </c>
      <c r="F702" s="32">
        <f t="shared" si="143"/>
        <v>63.244082399999996</v>
      </c>
      <c r="G702" s="80">
        <f t="shared" si="160"/>
        <v>70.88160929999998</v>
      </c>
      <c r="H702" s="19">
        <f t="shared" si="159"/>
        <v>83.64029897399998</v>
      </c>
      <c r="I702" s="80">
        <f t="shared" si="161"/>
        <v>115.63072864649459</v>
      </c>
      <c r="J702" s="19">
        <f t="shared" si="159"/>
        <v>136.4442598028636</v>
      </c>
      <c r="K702" s="94">
        <f t="shared" si="157"/>
        <v>1.6313220000000004</v>
      </c>
      <c r="N702">
        <f t="shared" si="149"/>
        <v>231.26145729298918</v>
      </c>
    </row>
    <row r="703" spans="1:14" ht="25.5">
      <c r="A703" s="498" t="s">
        <v>226</v>
      </c>
      <c r="B703" s="499" t="s">
        <v>411</v>
      </c>
      <c r="C703" s="74">
        <v>0.25</v>
      </c>
      <c r="D703" s="38">
        <v>24.86</v>
      </c>
      <c r="E703" s="57">
        <f t="shared" si="158"/>
        <v>26.79834</v>
      </c>
      <c r="F703" s="32">
        <f t="shared" si="143"/>
        <v>31.622041199999998</v>
      </c>
      <c r="G703" s="80">
        <f t="shared" si="160"/>
        <v>35.44080464999999</v>
      </c>
      <c r="H703" s="19">
        <f t="shared" si="159"/>
        <v>41.82014948699999</v>
      </c>
      <c r="I703" s="80">
        <f t="shared" si="161"/>
        <v>57.815364323247294</v>
      </c>
      <c r="J703" s="19">
        <f t="shared" si="159"/>
        <v>68.2221299014318</v>
      </c>
      <c r="K703" s="94">
        <f t="shared" si="157"/>
        <v>1.6313220000000004</v>
      </c>
      <c r="N703">
        <f t="shared" si="149"/>
        <v>231.26145729298918</v>
      </c>
    </row>
    <row r="704" spans="1:14" ht="12.75">
      <c r="A704" s="498" t="s">
        <v>227</v>
      </c>
      <c r="B704" s="499" t="s">
        <v>412</v>
      </c>
      <c r="C704" s="74">
        <v>0.15</v>
      </c>
      <c r="D704" s="38">
        <v>14.92</v>
      </c>
      <c r="E704" s="57">
        <f t="shared" si="158"/>
        <v>16.079003999999998</v>
      </c>
      <c r="F704" s="32">
        <f t="shared" si="143"/>
        <v>18.973224719999997</v>
      </c>
      <c r="G704" s="80">
        <f t="shared" si="160"/>
        <v>21.26448278999999</v>
      </c>
      <c r="H704" s="19">
        <f t="shared" si="159"/>
        <v>25.092089692199988</v>
      </c>
      <c r="I704" s="80">
        <f t="shared" si="161"/>
        <v>34.689218593948375</v>
      </c>
      <c r="J704" s="19">
        <f t="shared" si="159"/>
        <v>40.93327794085908</v>
      </c>
      <c r="K704" s="94">
        <f t="shared" si="157"/>
        <v>1.6313220000000004</v>
      </c>
      <c r="N704">
        <f t="shared" si="149"/>
        <v>231.26145729298918</v>
      </c>
    </row>
    <row r="705" spans="1:14" ht="12.75">
      <c r="A705" s="498" t="s">
        <v>228</v>
      </c>
      <c r="B705" s="499" t="s">
        <v>413</v>
      </c>
      <c r="C705" s="74">
        <v>0.25</v>
      </c>
      <c r="D705" s="38">
        <v>24.86</v>
      </c>
      <c r="E705" s="57">
        <f t="shared" si="158"/>
        <v>26.79834</v>
      </c>
      <c r="F705" s="32">
        <f t="shared" si="143"/>
        <v>31.622041199999998</v>
      </c>
      <c r="G705" s="80">
        <f t="shared" si="160"/>
        <v>35.44080464999999</v>
      </c>
      <c r="H705" s="19">
        <f t="shared" si="159"/>
        <v>41.82014948699999</v>
      </c>
      <c r="I705" s="80">
        <f t="shared" si="161"/>
        <v>57.815364323247294</v>
      </c>
      <c r="J705" s="19">
        <f t="shared" si="159"/>
        <v>68.2221299014318</v>
      </c>
      <c r="K705" s="94">
        <f t="shared" si="157"/>
        <v>1.6313220000000004</v>
      </c>
      <c r="N705">
        <f t="shared" si="149"/>
        <v>231.26145729298918</v>
      </c>
    </row>
    <row r="706" spans="1:14" ht="25.5">
      <c r="A706" s="498" t="s">
        <v>229</v>
      </c>
      <c r="B706" s="499" t="s">
        <v>414</v>
      </c>
      <c r="C706" s="74">
        <v>0.7</v>
      </c>
      <c r="D706" s="38">
        <v>69.61</v>
      </c>
      <c r="E706" s="57">
        <f t="shared" si="158"/>
        <v>75.035352</v>
      </c>
      <c r="F706" s="32">
        <f t="shared" si="143"/>
        <v>88.54171536</v>
      </c>
      <c r="G706" s="80">
        <f t="shared" si="160"/>
        <v>99.23425302</v>
      </c>
      <c r="H706" s="19">
        <f t="shared" si="159"/>
        <v>117.0964185636</v>
      </c>
      <c r="I706" s="80">
        <f t="shared" si="161"/>
        <v>161.8830201050925</v>
      </c>
      <c r="J706" s="19">
        <f t="shared" si="159"/>
        <v>191.02196372400914</v>
      </c>
      <c r="K706" s="94">
        <f t="shared" si="157"/>
        <v>1.6313220000000006</v>
      </c>
      <c r="N706">
        <f t="shared" si="149"/>
        <v>231.2614572929893</v>
      </c>
    </row>
    <row r="707" spans="1:14" ht="25.5">
      <c r="A707" s="498" t="s">
        <v>230</v>
      </c>
      <c r="B707" s="499" t="s">
        <v>415</v>
      </c>
      <c r="C707" s="74">
        <v>1</v>
      </c>
      <c r="D707" s="38">
        <v>99.45</v>
      </c>
      <c r="E707" s="57">
        <f t="shared" si="158"/>
        <v>107.19336</v>
      </c>
      <c r="F707" s="32">
        <f t="shared" si="143"/>
        <v>126.48816479999999</v>
      </c>
      <c r="G707" s="80">
        <f t="shared" si="160"/>
        <v>141.76321859999996</v>
      </c>
      <c r="H707" s="19">
        <f t="shared" si="159"/>
        <v>167.28059794799995</v>
      </c>
      <c r="I707" s="80">
        <f t="shared" si="161"/>
        <v>231.26145729298918</v>
      </c>
      <c r="J707" s="19">
        <f>I707*1.18</f>
        <v>272.8885196057272</v>
      </c>
      <c r="K707" s="94">
        <f t="shared" si="157"/>
        <v>1.6313220000000004</v>
      </c>
      <c r="N707">
        <f t="shared" si="149"/>
        <v>231.26145729298918</v>
      </c>
    </row>
    <row r="708" spans="1:14" ht="15.75">
      <c r="A708" s="944" t="s">
        <v>231</v>
      </c>
      <c r="B708" s="944"/>
      <c r="C708" s="944"/>
      <c r="D708" s="944"/>
      <c r="E708" s="944"/>
      <c r="F708" s="944"/>
      <c r="G708" s="944"/>
      <c r="H708" s="944"/>
      <c r="I708" s="944"/>
      <c r="J708" s="944"/>
      <c r="N708" t="e">
        <f t="shared" si="149"/>
        <v>#DIV/0!</v>
      </c>
    </row>
    <row r="709" spans="1:14" ht="12.75">
      <c r="A709" s="483" t="s">
        <v>976</v>
      </c>
      <c r="B709" s="945"/>
      <c r="C709" s="945"/>
      <c r="D709" s="945"/>
      <c r="E709" s="945"/>
      <c r="F709" s="945"/>
      <c r="G709" s="945"/>
      <c r="H709" s="945"/>
      <c r="I709" s="945"/>
      <c r="J709" s="945"/>
      <c r="N709" t="e">
        <f t="shared" si="149"/>
        <v>#DIV/0!</v>
      </c>
    </row>
    <row r="710" spans="1:14" ht="12.75">
      <c r="A710" s="500"/>
      <c r="B710" s="511" t="s">
        <v>857</v>
      </c>
      <c r="C710" s="207">
        <f>C711+C712+C713+C714+C715+C716</f>
        <v>32.8</v>
      </c>
      <c r="D710" s="484">
        <v>149.17</v>
      </c>
      <c r="E710" s="59">
        <f aca="true" t="shared" si="162" ref="E710:E716">C710*97.36*1.101</f>
        <v>3515.942208</v>
      </c>
      <c r="F710" s="32">
        <f aca="true" t="shared" si="163" ref="F710:F716">E710*1.18</f>
        <v>4148.811805439999</v>
      </c>
      <c r="G710" s="19">
        <f aca="true" t="shared" si="164" ref="G710:G716">E710*1.15</f>
        <v>4043.3335391999994</v>
      </c>
      <c r="H710" s="19">
        <f aca="true" t="shared" si="165" ref="H710:H716">G710*1.18</f>
        <v>4771.133576255999</v>
      </c>
      <c r="I710" s="19">
        <f>SUM(I711:I716)</f>
        <v>6321.146499341706</v>
      </c>
      <c r="J710" s="19">
        <f>I710*1.18</f>
        <v>7458.9528692232125</v>
      </c>
      <c r="K710" s="94">
        <f>I710/G710</f>
        <v>1.5633502500000005</v>
      </c>
      <c r="N710">
        <f t="shared" si="149"/>
        <v>192.71788107749106</v>
      </c>
    </row>
    <row r="711" spans="1:14" ht="12.75">
      <c r="A711" s="509" t="s">
        <v>232</v>
      </c>
      <c r="B711" s="499" t="s">
        <v>2211</v>
      </c>
      <c r="C711" s="74">
        <v>6.7</v>
      </c>
      <c r="D711" s="38">
        <v>24.86</v>
      </c>
      <c r="E711" s="57">
        <f t="shared" si="162"/>
        <v>718.195512</v>
      </c>
      <c r="F711" s="32">
        <f t="shared" si="163"/>
        <v>847.47070416</v>
      </c>
      <c r="G711" s="80">
        <f t="shared" si="164"/>
        <v>825.9248388</v>
      </c>
      <c r="H711" s="19">
        <f t="shared" si="165"/>
        <v>974.5913097839999</v>
      </c>
      <c r="I711" s="80">
        <f aca="true" t="shared" si="166" ref="I711:I716">G711*1.15*1.05*1.07*1.1*1.1</f>
        <v>1291.20980321919</v>
      </c>
      <c r="J711" s="19">
        <f aca="true" t="shared" si="167" ref="J711:J716">I711*1.18</f>
        <v>1523.6275677986441</v>
      </c>
      <c r="K711" s="94">
        <f aca="true" t="shared" si="168" ref="K711:K716">I711/G711</f>
        <v>1.5633502500000005</v>
      </c>
      <c r="N711">
        <f t="shared" si="149"/>
        <v>192.71788107749103</v>
      </c>
    </row>
    <row r="712" spans="1:14" ht="12.75">
      <c r="A712" s="509" t="s">
        <v>233</v>
      </c>
      <c r="B712" s="499" t="s">
        <v>2212</v>
      </c>
      <c r="C712" s="74">
        <v>5.7</v>
      </c>
      <c r="D712" s="38">
        <v>24.86</v>
      </c>
      <c r="E712" s="57">
        <f t="shared" si="162"/>
        <v>611.002152</v>
      </c>
      <c r="F712" s="32">
        <f t="shared" si="163"/>
        <v>720.98253936</v>
      </c>
      <c r="G712" s="80">
        <f t="shared" si="164"/>
        <v>702.6524747999999</v>
      </c>
      <c r="H712" s="19">
        <f t="shared" si="165"/>
        <v>829.1299202639999</v>
      </c>
      <c r="I712" s="80">
        <f t="shared" si="166"/>
        <v>1098.4919221416988</v>
      </c>
      <c r="J712" s="19">
        <f t="shared" si="167"/>
        <v>1296.2204681272044</v>
      </c>
      <c r="K712" s="94">
        <f t="shared" si="168"/>
        <v>1.5633502500000003</v>
      </c>
      <c r="N712">
        <f t="shared" si="149"/>
        <v>192.717881077491</v>
      </c>
    </row>
    <row r="713" spans="1:14" ht="12.75">
      <c r="A713" s="509" t="s">
        <v>234</v>
      </c>
      <c r="B713" s="499" t="s">
        <v>2213</v>
      </c>
      <c r="C713" s="74">
        <v>4</v>
      </c>
      <c r="D713" s="38">
        <v>24.86</v>
      </c>
      <c r="E713" s="57">
        <f t="shared" si="162"/>
        <v>428.77344</v>
      </c>
      <c r="F713" s="32">
        <f t="shared" si="163"/>
        <v>505.95265919999997</v>
      </c>
      <c r="G713" s="80">
        <f t="shared" si="164"/>
        <v>493.0894559999999</v>
      </c>
      <c r="H713" s="19">
        <f t="shared" si="165"/>
        <v>581.8455580799999</v>
      </c>
      <c r="I713" s="80">
        <f t="shared" si="166"/>
        <v>770.871524309964</v>
      </c>
      <c r="J713" s="19">
        <f t="shared" si="167"/>
        <v>909.6283986857575</v>
      </c>
      <c r="K713" s="94">
        <f t="shared" si="168"/>
        <v>1.5633502500000003</v>
      </c>
      <c r="N713">
        <f t="shared" si="149"/>
        <v>192.717881077491</v>
      </c>
    </row>
    <row r="714" spans="1:14" ht="12.75">
      <c r="A714" s="509" t="s">
        <v>235</v>
      </c>
      <c r="B714" s="499" t="s">
        <v>2214</v>
      </c>
      <c r="C714" s="74">
        <v>6.7</v>
      </c>
      <c r="D714" s="38">
        <v>99.45</v>
      </c>
      <c r="E714" s="57">
        <f t="shared" si="162"/>
        <v>718.195512</v>
      </c>
      <c r="F714" s="32">
        <f t="shared" si="163"/>
        <v>847.47070416</v>
      </c>
      <c r="G714" s="80">
        <f t="shared" si="164"/>
        <v>825.9248388</v>
      </c>
      <c r="H714" s="19">
        <f t="shared" si="165"/>
        <v>974.5913097839999</v>
      </c>
      <c r="I714" s="80">
        <f t="shared" si="166"/>
        <v>1291.20980321919</v>
      </c>
      <c r="J714" s="19">
        <f t="shared" si="167"/>
        <v>1523.6275677986441</v>
      </c>
      <c r="K714" s="94">
        <f t="shared" si="168"/>
        <v>1.5633502500000005</v>
      </c>
      <c r="N714">
        <f t="shared" si="149"/>
        <v>192.71788107749103</v>
      </c>
    </row>
    <row r="715" spans="1:14" ht="12.75">
      <c r="A715" s="509" t="s">
        <v>236</v>
      </c>
      <c r="B715" s="499" t="s">
        <v>2484</v>
      </c>
      <c r="C715" s="74">
        <v>5.7</v>
      </c>
      <c r="D715" s="38"/>
      <c r="E715" s="57">
        <f t="shared" si="162"/>
        <v>611.002152</v>
      </c>
      <c r="F715" s="32">
        <f t="shared" si="163"/>
        <v>720.98253936</v>
      </c>
      <c r="G715" s="80">
        <f t="shared" si="164"/>
        <v>702.6524747999999</v>
      </c>
      <c r="H715" s="19">
        <f t="shared" si="165"/>
        <v>829.1299202639999</v>
      </c>
      <c r="I715" s="80">
        <f t="shared" si="166"/>
        <v>1098.4919221416988</v>
      </c>
      <c r="J715" s="19">
        <f t="shared" si="167"/>
        <v>1296.2204681272044</v>
      </c>
      <c r="K715" s="94">
        <f t="shared" si="168"/>
        <v>1.5633502500000003</v>
      </c>
      <c r="N715">
        <f t="shared" si="149"/>
        <v>192.717881077491</v>
      </c>
    </row>
    <row r="716" spans="1:14" ht="12.75">
      <c r="A716" s="509" t="s">
        <v>237</v>
      </c>
      <c r="B716" s="499" t="s">
        <v>2485</v>
      </c>
      <c r="C716" s="74">
        <v>4</v>
      </c>
      <c r="D716" s="38"/>
      <c r="E716" s="57">
        <f t="shared" si="162"/>
        <v>428.77344</v>
      </c>
      <c r="F716" s="32">
        <f t="shared" si="163"/>
        <v>505.95265919999997</v>
      </c>
      <c r="G716" s="80">
        <f t="shared" si="164"/>
        <v>493.0894559999999</v>
      </c>
      <c r="H716" s="19">
        <f t="shared" si="165"/>
        <v>581.8455580799999</v>
      </c>
      <c r="I716" s="80">
        <f t="shared" si="166"/>
        <v>770.871524309964</v>
      </c>
      <c r="J716" s="19">
        <f t="shared" si="167"/>
        <v>909.6283986857575</v>
      </c>
      <c r="K716" s="94">
        <f t="shared" si="168"/>
        <v>1.5633502500000003</v>
      </c>
      <c r="N716">
        <f t="shared" si="149"/>
        <v>192.717881077491</v>
      </c>
    </row>
    <row r="720" spans="1:12" ht="31.5">
      <c r="A720" s="154"/>
      <c r="B720" s="144" t="s">
        <v>2819</v>
      </c>
      <c r="C720" s="295"/>
      <c r="D720" s="296"/>
      <c r="E720" s="297"/>
      <c r="F720" s="297"/>
      <c r="G720" s="295"/>
      <c r="H720" s="299" t="s">
        <v>2478</v>
      </c>
      <c r="I720" s="138" t="s">
        <v>2820</v>
      </c>
      <c r="J720" s="12"/>
      <c r="K720" s="134"/>
      <c r="L720" s="132"/>
    </row>
  </sheetData>
  <sheetProtection/>
  <mergeCells count="54">
    <mergeCell ref="B323:J323"/>
    <mergeCell ref="B328:J328"/>
    <mergeCell ref="B252:J252"/>
    <mergeCell ref="B15:J15"/>
    <mergeCell ref="A7:J7"/>
    <mergeCell ref="A8:J8"/>
    <mergeCell ref="A9:J9"/>
    <mergeCell ref="A14:J14"/>
    <mergeCell ref="A10:J10"/>
    <mergeCell ref="B69:J69"/>
    <mergeCell ref="B79:J79"/>
    <mergeCell ref="B85:J85"/>
    <mergeCell ref="B92:J92"/>
    <mergeCell ref="B102:J102"/>
    <mergeCell ref="B121:J121"/>
    <mergeCell ref="B131:J131"/>
    <mergeCell ref="B139:J139"/>
    <mergeCell ref="B146:J146"/>
    <mergeCell ref="B153:J153"/>
    <mergeCell ref="B218:J218"/>
    <mergeCell ref="B318:J318"/>
    <mergeCell ref="B307:J307"/>
    <mergeCell ref="B338:J338"/>
    <mergeCell ref="B353:J353"/>
    <mergeCell ref="B359:J359"/>
    <mergeCell ref="B368:J368"/>
    <mergeCell ref="B378:J378"/>
    <mergeCell ref="B389:J389"/>
    <mergeCell ref="B395:J395"/>
    <mergeCell ref="B405:J405"/>
    <mergeCell ref="B415:J415"/>
    <mergeCell ref="B428:J428"/>
    <mergeCell ref="B461:J461"/>
    <mergeCell ref="B476:J476"/>
    <mergeCell ref="B491:J491"/>
    <mergeCell ref="A539:J539"/>
    <mergeCell ref="B540:J540"/>
    <mergeCell ref="B575:J575"/>
    <mergeCell ref="B581:J581"/>
    <mergeCell ref="B588:J588"/>
    <mergeCell ref="B594:J594"/>
    <mergeCell ref="B606:J606"/>
    <mergeCell ref="B612:J612"/>
    <mergeCell ref="B618:J618"/>
    <mergeCell ref="A631:J631"/>
    <mergeCell ref="B632:J632"/>
    <mergeCell ref="A708:J708"/>
    <mergeCell ref="B709:J709"/>
    <mergeCell ref="B661:J661"/>
    <mergeCell ref="B674:J674"/>
    <mergeCell ref="B680:J680"/>
    <mergeCell ref="A688:J688"/>
    <mergeCell ref="B689:J689"/>
    <mergeCell ref="B694:J694"/>
  </mergeCells>
  <printOptions/>
  <pageMargins left="0.5905511811023623" right="0.15748031496062992" top="0.5511811023622047" bottom="0.6299212598425197" header="0.5118110236220472" footer="0.5118110236220472"/>
  <pageSetup fitToHeight="1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O276"/>
  <sheetViews>
    <sheetView zoomScalePageLayoutView="0" workbookViewId="0" topLeftCell="A8">
      <selection activeCell="V21" sqref="V21"/>
    </sheetView>
  </sheetViews>
  <sheetFormatPr defaultColWidth="9.00390625" defaultRowHeight="12.75"/>
  <cols>
    <col min="1" max="1" width="7.375" style="179" customWidth="1"/>
    <col min="2" max="2" width="45.625" style="2" customWidth="1"/>
    <col min="3" max="3" width="12.00390625" style="17" hidden="1" customWidth="1"/>
    <col min="4" max="4" width="13.875" style="12" hidden="1" customWidth="1"/>
    <col min="5" max="5" width="12.00390625" style="53" hidden="1" customWidth="1"/>
    <col min="6" max="6" width="11.00390625" style="44" hidden="1" customWidth="1"/>
    <col min="7" max="7" width="10.375" style="0" hidden="1" customWidth="1"/>
    <col min="8" max="8" width="10.75390625" style="0" hidden="1" customWidth="1"/>
    <col min="9" max="9" width="12.00390625" style="202" customWidth="1"/>
    <col min="10" max="10" width="13.875" style="12" hidden="1" customWidth="1"/>
    <col min="11" max="11" width="12.00390625" style="53" hidden="1" customWidth="1"/>
    <col min="12" max="12" width="11.00390625" style="44" hidden="1" customWidth="1"/>
    <col min="13" max="13" width="10.375" style="0" customWidth="1"/>
    <col min="14" max="14" width="10.75390625" style="0" customWidth="1"/>
    <col min="15" max="15" width="9.125" style="0" hidden="1" customWidth="1"/>
    <col min="16" max="18" width="9.125" style="0" customWidth="1"/>
  </cols>
  <sheetData>
    <row r="1" spans="3:9" ht="12.75" customHeight="1" hidden="1">
      <c r="C1" s="3" t="s">
        <v>1948</v>
      </c>
      <c r="I1" s="122" t="s">
        <v>1948</v>
      </c>
    </row>
    <row r="2" spans="3:9" ht="12.75" customHeight="1" hidden="1">
      <c r="C2"/>
      <c r="I2" s="101"/>
    </row>
    <row r="3" spans="3:9" ht="12.75" customHeight="1" hidden="1">
      <c r="C3" t="s">
        <v>1949</v>
      </c>
      <c r="I3" s="101" t="s">
        <v>1949</v>
      </c>
    </row>
    <row r="4" spans="3:9" ht="12.75" customHeight="1" hidden="1">
      <c r="C4" t="s">
        <v>1950</v>
      </c>
      <c r="I4" s="101" t="s">
        <v>1950</v>
      </c>
    </row>
    <row r="5" spans="3:9" ht="12.75" customHeight="1" hidden="1">
      <c r="C5" t="s">
        <v>821</v>
      </c>
      <c r="I5" s="101" t="s">
        <v>821</v>
      </c>
    </row>
    <row r="6" ht="12.75" customHeight="1" hidden="1"/>
    <row r="7" ht="12.75" customHeight="1" hidden="1"/>
    <row r="8" spans="1:14" ht="12.75">
      <c r="A8" s="121"/>
      <c r="B8" s="5"/>
      <c r="C8"/>
      <c r="D8"/>
      <c r="E8" s="54"/>
      <c r="F8" s="45"/>
      <c r="H8" s="81" t="s">
        <v>2572</v>
      </c>
      <c r="I8" s="101"/>
      <c r="J8"/>
      <c r="K8" s="54"/>
      <c r="L8" s="45"/>
      <c r="N8" s="4" t="s">
        <v>2474</v>
      </c>
    </row>
    <row r="9" spans="1:14" ht="12.75">
      <c r="A9" s="121"/>
      <c r="B9" s="5"/>
      <c r="C9"/>
      <c r="D9"/>
      <c r="E9" s="54"/>
      <c r="F9" s="46"/>
      <c r="H9" s="81" t="s">
        <v>2573</v>
      </c>
      <c r="I9" s="101"/>
      <c r="J9"/>
      <c r="K9" s="54"/>
      <c r="L9" s="46"/>
      <c r="N9" s="81" t="s">
        <v>2822</v>
      </c>
    </row>
    <row r="10" spans="1:14" ht="12.75">
      <c r="A10" s="121"/>
      <c r="B10" s="5"/>
      <c r="C10"/>
      <c r="D10"/>
      <c r="E10" s="54"/>
      <c r="F10" s="46"/>
      <c r="H10" s="81" t="s">
        <v>2574</v>
      </c>
      <c r="I10" s="101"/>
      <c r="J10"/>
      <c r="K10" s="54"/>
      <c r="L10" s="46"/>
      <c r="N10" s="81" t="s">
        <v>3556</v>
      </c>
    </row>
    <row r="11" spans="1:14" ht="12.75">
      <c r="A11" s="121"/>
      <c r="B11" s="5"/>
      <c r="C11"/>
      <c r="D11"/>
      <c r="E11" s="54"/>
      <c r="F11" s="47"/>
      <c r="H11" s="81" t="s">
        <v>2420</v>
      </c>
      <c r="I11" s="101"/>
      <c r="J11"/>
      <c r="K11" s="54"/>
      <c r="L11" s="47"/>
      <c r="N11" s="81"/>
    </row>
    <row r="12" spans="1:14" ht="15" customHeight="1">
      <c r="A12" s="892" t="s">
        <v>3554</v>
      </c>
      <c r="B12" s="892"/>
      <c r="C12" s="892"/>
      <c r="D12" s="892"/>
      <c r="E12" s="892"/>
      <c r="F12" s="892"/>
      <c r="G12" s="892"/>
      <c r="H12" s="892"/>
      <c r="I12" s="892"/>
      <c r="J12" s="892"/>
      <c r="K12" s="892"/>
      <c r="L12" s="892"/>
      <c r="M12" s="892"/>
      <c r="N12" s="892"/>
    </row>
    <row r="13" spans="1:14" ht="15" customHeight="1">
      <c r="A13" s="892" t="s">
        <v>2823</v>
      </c>
      <c r="B13" s="892"/>
      <c r="C13" s="892"/>
      <c r="D13" s="892"/>
      <c r="E13" s="892"/>
      <c r="F13" s="892"/>
      <c r="G13" s="892"/>
      <c r="H13" s="892"/>
      <c r="I13" s="892"/>
      <c r="J13" s="892"/>
      <c r="K13" s="892"/>
      <c r="L13" s="892"/>
      <c r="M13" s="892"/>
      <c r="N13" s="892"/>
    </row>
    <row r="14" spans="1:14" ht="15" customHeight="1">
      <c r="A14" s="951" t="s">
        <v>1161</v>
      </c>
      <c r="B14" s="951"/>
      <c r="C14" s="951"/>
      <c r="D14" s="951"/>
      <c r="E14" s="951"/>
      <c r="F14" s="951"/>
      <c r="G14" s="951"/>
      <c r="H14" s="951"/>
      <c r="I14" s="951"/>
      <c r="J14" s="951"/>
      <c r="K14" s="951"/>
      <c r="L14" s="951"/>
      <c r="M14" s="951"/>
      <c r="N14" s="951"/>
    </row>
    <row r="15" spans="1:14" ht="15" customHeight="1">
      <c r="A15" s="951" t="s">
        <v>3555</v>
      </c>
      <c r="B15" s="951"/>
      <c r="C15" s="951"/>
      <c r="D15" s="951"/>
      <c r="E15" s="951"/>
      <c r="F15" s="951"/>
      <c r="G15" s="951"/>
      <c r="H15" s="951"/>
      <c r="I15" s="951"/>
      <c r="J15" s="951"/>
      <c r="K15" s="951"/>
      <c r="L15" s="951"/>
      <c r="M15" s="951"/>
      <c r="N15" s="951"/>
    </row>
    <row r="16" spans="1:14" ht="15" customHeight="1" thickBot="1">
      <c r="A16" s="642"/>
      <c r="B16" s="642"/>
      <c r="C16" s="642"/>
      <c r="D16" s="642"/>
      <c r="E16" s="642"/>
      <c r="F16" s="642"/>
      <c r="G16" s="642"/>
      <c r="H16" s="642"/>
      <c r="I16" s="642"/>
      <c r="J16" s="642"/>
      <c r="K16" s="642"/>
      <c r="L16" s="642"/>
      <c r="M16" s="642"/>
      <c r="N16" s="642"/>
    </row>
    <row r="17" spans="1:14" ht="26.25" thickBot="1">
      <c r="A17" s="70" t="s">
        <v>2522</v>
      </c>
      <c r="B17" s="185" t="s">
        <v>779</v>
      </c>
      <c r="C17" s="72" t="s">
        <v>335</v>
      </c>
      <c r="D17" s="35"/>
      <c r="E17" s="100" t="s">
        <v>336</v>
      </c>
      <c r="F17" s="73" t="s">
        <v>337</v>
      </c>
      <c r="G17" s="100" t="s">
        <v>336</v>
      </c>
      <c r="H17" s="73" t="s">
        <v>337</v>
      </c>
      <c r="I17" s="203" t="s">
        <v>335</v>
      </c>
      <c r="J17" s="35"/>
      <c r="K17" s="100" t="s">
        <v>336</v>
      </c>
      <c r="L17" s="73" t="s">
        <v>337</v>
      </c>
      <c r="M17" s="100" t="s">
        <v>336</v>
      </c>
      <c r="N17" s="73" t="s">
        <v>337</v>
      </c>
    </row>
    <row r="18" spans="1:14" ht="13.5" thickBot="1">
      <c r="A18" s="309"/>
      <c r="B18" s="63"/>
      <c r="C18" s="265"/>
      <c r="D18" s="302"/>
      <c r="E18" s="56"/>
      <c r="F18" s="64"/>
      <c r="G18" s="56"/>
      <c r="H18" s="64"/>
      <c r="I18" s="310"/>
      <c r="J18" s="302"/>
      <c r="K18" s="56"/>
      <c r="L18" s="64"/>
      <c r="M18" s="55"/>
      <c r="N18" s="62"/>
    </row>
    <row r="19" spans="1:14" ht="20.25" customHeight="1" thickBot="1">
      <c r="A19" s="956" t="s">
        <v>238</v>
      </c>
      <c r="B19" s="957"/>
      <c r="C19" s="957"/>
      <c r="D19" s="957"/>
      <c r="E19" s="957"/>
      <c r="F19" s="957"/>
      <c r="G19" s="957"/>
      <c r="H19" s="957"/>
      <c r="I19" s="957"/>
      <c r="J19" s="957"/>
      <c r="K19" s="957"/>
      <c r="L19" s="957"/>
      <c r="M19" s="957"/>
      <c r="N19" s="958"/>
    </row>
    <row r="20" spans="1:14" ht="15" customHeight="1" thickBot="1">
      <c r="A20" s="191" t="s">
        <v>1130</v>
      </c>
      <c r="B20" s="953" t="s">
        <v>1516</v>
      </c>
      <c r="C20" s="954"/>
      <c r="D20" s="954"/>
      <c r="E20" s="954"/>
      <c r="F20" s="954"/>
      <c r="G20" s="954"/>
      <c r="H20" s="954"/>
      <c r="I20" s="954"/>
      <c r="J20" s="954"/>
      <c r="K20" s="954"/>
      <c r="L20" s="954"/>
      <c r="M20" s="954"/>
      <c r="N20" s="955"/>
    </row>
    <row r="21" spans="1:14" ht="12.75">
      <c r="A21" s="242" t="s">
        <v>2444</v>
      </c>
      <c r="B21" s="283" t="s">
        <v>742</v>
      </c>
      <c r="C21" s="7">
        <v>2.5</v>
      </c>
      <c r="D21" s="423">
        <v>182.5</v>
      </c>
      <c r="E21" s="58">
        <f>C21*97.36*1.101</f>
        <v>267.9834</v>
      </c>
      <c r="F21" s="419">
        <f aca="true" t="shared" si="0" ref="F21:F96">E21*1.18</f>
        <v>316.220412</v>
      </c>
      <c r="G21" s="82">
        <f>E21*1.15*1.15</f>
        <v>354.40804649999995</v>
      </c>
      <c r="H21" s="34">
        <f>G21*1.18</f>
        <v>418.2014948699999</v>
      </c>
      <c r="I21" s="206">
        <v>2.5</v>
      </c>
      <c r="J21" s="423">
        <v>182.5</v>
      </c>
      <c r="K21" s="58">
        <f>I21*97.36*1.101</f>
        <v>267.9834</v>
      </c>
      <c r="L21" s="421">
        <f aca="true" t="shared" si="1" ref="L21:L99">K21*1.18</f>
        <v>316.220412</v>
      </c>
      <c r="M21" s="82">
        <f>398.18*1.1*3*1.1</f>
        <v>1445.3934000000004</v>
      </c>
      <c r="N21" s="184">
        <f>M21*1.18</f>
        <v>1705.5642120000005</v>
      </c>
    </row>
    <row r="22" spans="1:14" ht="12.75">
      <c r="A22" s="187" t="s">
        <v>2445</v>
      </c>
      <c r="B22" s="125" t="s">
        <v>561</v>
      </c>
      <c r="C22" s="8">
        <v>4.2</v>
      </c>
      <c r="D22" s="24">
        <v>306.6</v>
      </c>
      <c r="E22" s="57">
        <f>C22*97.36*1.101</f>
        <v>450.21211200000005</v>
      </c>
      <c r="F22" s="50">
        <f t="shared" si="0"/>
        <v>531.2502921600001</v>
      </c>
      <c r="G22" s="82">
        <f aca="true" t="shared" si="2" ref="G22:G102">E22*1.15*1.15</f>
        <v>595.40551812</v>
      </c>
      <c r="H22" s="19">
        <f aca="true" t="shared" si="3" ref="H22:H103">G22*1.18</f>
        <v>702.5785113815999</v>
      </c>
      <c r="I22" s="74">
        <v>4.2</v>
      </c>
      <c r="J22" s="24">
        <v>306.6</v>
      </c>
      <c r="K22" s="57">
        <f>I22*97.36*1.101</f>
        <v>450.21211200000005</v>
      </c>
      <c r="L22" s="369">
        <f t="shared" si="1"/>
        <v>531.2502921600001</v>
      </c>
      <c r="M22" s="80">
        <f>668.94*1.1*3*1.1</f>
        <v>2428.252200000001</v>
      </c>
      <c r="N22" s="75">
        <f aca="true" t="shared" si="4" ref="N22:N100">M22*1.18</f>
        <v>2865.3375960000008</v>
      </c>
    </row>
    <row r="23" spans="1:14" ht="12.75">
      <c r="A23" s="188" t="s">
        <v>2446</v>
      </c>
      <c r="B23" s="125" t="s">
        <v>743</v>
      </c>
      <c r="C23" s="8">
        <v>2.2</v>
      </c>
      <c r="D23" s="24">
        <v>160.6</v>
      </c>
      <c r="E23" s="57">
        <f aca="true" t="shared" si="5" ref="E23:E32">C23*97.36*1.101</f>
        <v>235.825392</v>
      </c>
      <c r="F23" s="50">
        <f t="shared" si="0"/>
        <v>278.27396256</v>
      </c>
      <c r="G23" s="82">
        <f t="shared" si="2"/>
        <v>311.8790809199999</v>
      </c>
      <c r="H23" s="19">
        <f t="shared" si="3"/>
        <v>368.0173154855999</v>
      </c>
      <c r="I23" s="74">
        <v>2.2</v>
      </c>
      <c r="J23" s="24">
        <v>160.6</v>
      </c>
      <c r="K23" s="57">
        <f aca="true" t="shared" si="6" ref="K23:K52">I23*97.36*1.101</f>
        <v>235.825392</v>
      </c>
      <c r="L23" s="369">
        <f t="shared" si="1"/>
        <v>278.27396256</v>
      </c>
      <c r="M23" s="80">
        <f>350.4*1.1*3*1.1</f>
        <v>1271.952</v>
      </c>
      <c r="N23" s="75">
        <f t="shared" si="4"/>
        <v>1500.90336</v>
      </c>
    </row>
    <row r="24" spans="1:14" ht="12.75">
      <c r="A24" s="189" t="s">
        <v>2447</v>
      </c>
      <c r="B24" s="125" t="s">
        <v>744</v>
      </c>
      <c r="C24" s="9">
        <v>2</v>
      </c>
      <c r="D24" s="24">
        <v>146</v>
      </c>
      <c r="E24" s="57">
        <f t="shared" si="5"/>
        <v>214.38672</v>
      </c>
      <c r="F24" s="50">
        <f t="shared" si="0"/>
        <v>252.97632959999999</v>
      </c>
      <c r="G24" s="82">
        <f t="shared" si="2"/>
        <v>283.5264371999999</v>
      </c>
      <c r="H24" s="19">
        <f t="shared" si="3"/>
        <v>334.5611958959999</v>
      </c>
      <c r="I24" s="74">
        <v>2</v>
      </c>
      <c r="J24" s="24">
        <v>146</v>
      </c>
      <c r="K24" s="57">
        <f t="shared" si="6"/>
        <v>214.38672</v>
      </c>
      <c r="L24" s="369">
        <f t="shared" si="1"/>
        <v>252.97632959999999</v>
      </c>
      <c r="M24" s="80">
        <f>318.54*1.1*3*1.1</f>
        <v>1156.3002000000004</v>
      </c>
      <c r="N24" s="75">
        <f t="shared" si="4"/>
        <v>1364.4342360000003</v>
      </c>
    </row>
    <row r="25" spans="1:14" ht="12.75">
      <c r="A25" s="188" t="s">
        <v>239</v>
      </c>
      <c r="B25" s="125" t="s">
        <v>795</v>
      </c>
      <c r="C25" s="8">
        <v>2.4</v>
      </c>
      <c r="D25" s="24">
        <v>175.2</v>
      </c>
      <c r="E25" s="57">
        <f t="shared" si="5"/>
        <v>257.26406399999996</v>
      </c>
      <c r="F25" s="50">
        <f t="shared" si="0"/>
        <v>303.57159551999996</v>
      </c>
      <c r="G25" s="82">
        <f t="shared" si="2"/>
        <v>340.23172463999987</v>
      </c>
      <c r="H25" s="19">
        <f t="shared" si="3"/>
        <v>401.4734350751998</v>
      </c>
      <c r="I25" s="74">
        <v>2.4</v>
      </c>
      <c r="J25" s="24">
        <v>175.2</v>
      </c>
      <c r="K25" s="57">
        <f t="shared" si="6"/>
        <v>257.26406399999996</v>
      </c>
      <c r="L25" s="369">
        <f t="shared" si="1"/>
        <v>303.57159551999996</v>
      </c>
      <c r="M25" s="80">
        <f>382.25*1.1*3*1.1</f>
        <v>1387.5675000000003</v>
      </c>
      <c r="N25" s="75">
        <f t="shared" si="4"/>
        <v>1637.3296500000004</v>
      </c>
    </row>
    <row r="26" spans="1:14" ht="12.75">
      <c r="A26" s="189" t="s">
        <v>240</v>
      </c>
      <c r="B26" s="125" t="s">
        <v>745</v>
      </c>
      <c r="C26" s="8">
        <v>1.4</v>
      </c>
      <c r="D26" s="24">
        <v>102.2</v>
      </c>
      <c r="E26" s="57">
        <f t="shared" si="5"/>
        <v>150.070704</v>
      </c>
      <c r="F26" s="50">
        <f t="shared" si="0"/>
        <v>177.08343072</v>
      </c>
      <c r="G26" s="82">
        <f t="shared" si="2"/>
        <v>198.46850604</v>
      </c>
      <c r="H26" s="19">
        <f t="shared" si="3"/>
        <v>234.1928371272</v>
      </c>
      <c r="I26" s="74">
        <v>1.4</v>
      </c>
      <c r="J26" s="24">
        <v>102.2</v>
      </c>
      <c r="K26" s="57">
        <f t="shared" si="6"/>
        <v>150.070704</v>
      </c>
      <c r="L26" s="369">
        <f t="shared" si="1"/>
        <v>177.08343072</v>
      </c>
      <c r="M26" s="80">
        <f>222.98*1.1*3*1.1</f>
        <v>809.4174000000002</v>
      </c>
      <c r="N26" s="75">
        <f t="shared" si="4"/>
        <v>955.1125320000001</v>
      </c>
    </row>
    <row r="27" spans="1:14" ht="12.75">
      <c r="A27" s="188" t="s">
        <v>241</v>
      </c>
      <c r="B27" s="125" t="s">
        <v>746</v>
      </c>
      <c r="C27" s="8">
        <v>3.2</v>
      </c>
      <c r="D27" s="24">
        <v>233.5</v>
      </c>
      <c r="E27" s="57">
        <f t="shared" si="5"/>
        <v>343.018752</v>
      </c>
      <c r="F27" s="50">
        <f t="shared" si="0"/>
        <v>404.76212735999997</v>
      </c>
      <c r="G27" s="82">
        <f t="shared" si="2"/>
        <v>453.64229951999994</v>
      </c>
      <c r="H27" s="19">
        <f t="shared" si="3"/>
        <v>535.2979134335999</v>
      </c>
      <c r="I27" s="74">
        <v>3.2</v>
      </c>
      <c r="J27" s="24">
        <v>233.5</v>
      </c>
      <c r="K27" s="57">
        <f t="shared" si="6"/>
        <v>343.018752</v>
      </c>
      <c r="L27" s="369">
        <f t="shared" si="1"/>
        <v>404.76212735999997</v>
      </c>
      <c r="M27" s="80">
        <f>509.67*1.1*3*1.1</f>
        <v>1850.1021000000003</v>
      </c>
      <c r="N27" s="75">
        <f t="shared" si="4"/>
        <v>2183.1204780000003</v>
      </c>
    </row>
    <row r="28" spans="1:14" ht="12.75">
      <c r="A28" s="189" t="s">
        <v>242</v>
      </c>
      <c r="B28" s="125" t="s">
        <v>747</v>
      </c>
      <c r="C28" s="8">
        <v>2.5</v>
      </c>
      <c r="D28" s="24">
        <v>182.5</v>
      </c>
      <c r="E28" s="57">
        <f t="shared" si="5"/>
        <v>267.9834</v>
      </c>
      <c r="F28" s="50">
        <f t="shared" si="0"/>
        <v>316.220412</v>
      </c>
      <c r="G28" s="82">
        <f t="shared" si="2"/>
        <v>354.40804649999995</v>
      </c>
      <c r="H28" s="19">
        <f t="shared" si="3"/>
        <v>418.2014948699999</v>
      </c>
      <c r="I28" s="74">
        <v>2.5</v>
      </c>
      <c r="J28" s="24">
        <v>182.5</v>
      </c>
      <c r="K28" s="57">
        <f t="shared" si="6"/>
        <v>267.9834</v>
      </c>
      <c r="L28" s="369">
        <f t="shared" si="1"/>
        <v>316.220412</v>
      </c>
      <c r="M28" s="80">
        <f>398.18*1.1*3*1.1</f>
        <v>1445.3934000000004</v>
      </c>
      <c r="N28" s="75">
        <f t="shared" si="4"/>
        <v>1705.5642120000005</v>
      </c>
    </row>
    <row r="29" spans="1:14" ht="12.75">
      <c r="A29" s="188" t="s">
        <v>243</v>
      </c>
      <c r="B29" s="125" t="s">
        <v>748</v>
      </c>
      <c r="C29" s="8">
        <v>3.6</v>
      </c>
      <c r="D29" s="24">
        <v>262.8</v>
      </c>
      <c r="E29" s="57">
        <f t="shared" si="5"/>
        <v>385.89609599999994</v>
      </c>
      <c r="F29" s="50">
        <f t="shared" si="0"/>
        <v>455.3573932799999</v>
      </c>
      <c r="G29" s="82">
        <f t="shared" si="2"/>
        <v>510.3475869599999</v>
      </c>
      <c r="H29" s="19">
        <f t="shared" si="3"/>
        <v>602.2101526127998</v>
      </c>
      <c r="I29" s="74">
        <v>3.6</v>
      </c>
      <c r="J29" s="24">
        <v>262.8</v>
      </c>
      <c r="K29" s="57">
        <f t="shared" si="6"/>
        <v>385.89609599999994</v>
      </c>
      <c r="L29" s="369">
        <f t="shared" si="1"/>
        <v>455.3573932799999</v>
      </c>
      <c r="M29" s="80">
        <f>573.38*1.1*3*1.1</f>
        <v>2081.3694000000005</v>
      </c>
      <c r="N29" s="75">
        <f t="shared" si="4"/>
        <v>2456.0158920000003</v>
      </c>
    </row>
    <row r="30" spans="1:14" ht="12.75">
      <c r="A30" s="189" t="s">
        <v>244</v>
      </c>
      <c r="B30" s="125" t="s">
        <v>1031</v>
      </c>
      <c r="C30" s="8">
        <v>2.2</v>
      </c>
      <c r="D30" s="24">
        <v>160.6</v>
      </c>
      <c r="E30" s="57">
        <f t="shared" si="5"/>
        <v>235.825392</v>
      </c>
      <c r="F30" s="50">
        <f t="shared" si="0"/>
        <v>278.27396256</v>
      </c>
      <c r="G30" s="82">
        <f t="shared" si="2"/>
        <v>311.8790809199999</v>
      </c>
      <c r="H30" s="19">
        <f t="shared" si="3"/>
        <v>368.0173154855999</v>
      </c>
      <c r="I30" s="74">
        <v>2.2</v>
      </c>
      <c r="J30" s="24">
        <v>160.6</v>
      </c>
      <c r="K30" s="57">
        <f t="shared" si="6"/>
        <v>235.825392</v>
      </c>
      <c r="L30" s="369">
        <f t="shared" si="1"/>
        <v>278.27396256</v>
      </c>
      <c r="M30" s="80">
        <f>350.4*1.1*3*1.1</f>
        <v>1271.952</v>
      </c>
      <c r="N30" s="75">
        <f t="shared" si="4"/>
        <v>1500.90336</v>
      </c>
    </row>
    <row r="31" spans="1:14" ht="12.75">
      <c r="A31" s="188" t="s">
        <v>245</v>
      </c>
      <c r="B31" s="125" t="s">
        <v>798</v>
      </c>
      <c r="C31" s="8">
        <v>2.2</v>
      </c>
      <c r="D31" s="24">
        <v>160.6</v>
      </c>
      <c r="E31" s="57">
        <f t="shared" si="5"/>
        <v>235.825392</v>
      </c>
      <c r="F31" s="50">
        <f t="shared" si="0"/>
        <v>278.27396256</v>
      </c>
      <c r="G31" s="82">
        <f t="shared" si="2"/>
        <v>311.8790809199999</v>
      </c>
      <c r="H31" s="19">
        <f t="shared" si="3"/>
        <v>368.0173154855999</v>
      </c>
      <c r="I31" s="74">
        <v>2.2</v>
      </c>
      <c r="J31" s="24">
        <v>160.6</v>
      </c>
      <c r="K31" s="57">
        <f t="shared" si="6"/>
        <v>235.825392</v>
      </c>
      <c r="L31" s="369">
        <f t="shared" si="1"/>
        <v>278.27396256</v>
      </c>
      <c r="M31" s="80">
        <f>350.4*1.1*3*1.1</f>
        <v>1271.952</v>
      </c>
      <c r="N31" s="75">
        <f t="shared" si="4"/>
        <v>1500.90336</v>
      </c>
    </row>
    <row r="32" spans="1:14" ht="12.75">
      <c r="A32" s="188" t="s">
        <v>246</v>
      </c>
      <c r="B32" s="125" t="s">
        <v>813</v>
      </c>
      <c r="C32" s="8">
        <v>3.7</v>
      </c>
      <c r="D32" s="24"/>
      <c r="E32" s="57">
        <f t="shared" si="5"/>
        <v>396.615432</v>
      </c>
      <c r="F32" s="32">
        <f t="shared" si="0"/>
        <v>468.00620976</v>
      </c>
      <c r="G32" s="82">
        <f t="shared" si="2"/>
        <v>524.52390882</v>
      </c>
      <c r="H32" s="19">
        <f t="shared" si="3"/>
        <v>618.9382124076</v>
      </c>
      <c r="I32" s="74">
        <v>3.7</v>
      </c>
      <c r="J32" s="24"/>
      <c r="K32" s="57">
        <f t="shared" si="6"/>
        <v>396.615432</v>
      </c>
      <c r="L32" s="369">
        <f t="shared" si="1"/>
        <v>468.00620976</v>
      </c>
      <c r="M32" s="80">
        <f>589.3*1.1*3*1.1</f>
        <v>2139.159</v>
      </c>
      <c r="N32" s="75">
        <f t="shared" si="4"/>
        <v>2524.20762</v>
      </c>
    </row>
    <row r="33" spans="1:14" s="111" customFormat="1" ht="12.75">
      <c r="A33" s="188" t="s">
        <v>247</v>
      </c>
      <c r="B33" s="192" t="s">
        <v>2283</v>
      </c>
      <c r="C33" s="20"/>
      <c r="D33" s="27"/>
      <c r="E33" s="57"/>
      <c r="F33" s="32"/>
      <c r="G33" s="80"/>
      <c r="H33" s="19"/>
      <c r="I33" s="204">
        <v>4.2</v>
      </c>
      <c r="J33" s="27"/>
      <c r="K33" s="57">
        <f t="shared" si="6"/>
        <v>450.21211200000005</v>
      </c>
      <c r="L33" s="369">
        <f t="shared" si="1"/>
        <v>531.2502921600001</v>
      </c>
      <c r="M33" s="80">
        <f>668.94*1.1*3*1.1</f>
        <v>2428.252200000001</v>
      </c>
      <c r="N33" s="75">
        <f t="shared" si="4"/>
        <v>2865.3375960000008</v>
      </c>
    </row>
    <row r="34" spans="1:14" s="111" customFormat="1" ht="12.75">
      <c r="A34" s="188" t="s">
        <v>248</v>
      </c>
      <c r="B34" s="193" t="s">
        <v>2284</v>
      </c>
      <c r="C34" s="20"/>
      <c r="D34" s="27"/>
      <c r="E34" s="57"/>
      <c r="F34" s="32"/>
      <c r="G34" s="80"/>
      <c r="H34" s="19"/>
      <c r="I34" s="204">
        <v>4.2</v>
      </c>
      <c r="J34" s="27"/>
      <c r="K34" s="57">
        <f t="shared" si="6"/>
        <v>450.21211200000005</v>
      </c>
      <c r="L34" s="369">
        <f t="shared" si="1"/>
        <v>531.2502921600001</v>
      </c>
      <c r="M34" s="80">
        <f>668.94*1.1*3*1.1</f>
        <v>2428.252200000001</v>
      </c>
      <c r="N34" s="75">
        <f t="shared" si="4"/>
        <v>2865.3375960000008</v>
      </c>
    </row>
    <row r="35" spans="1:15" s="111" customFormat="1" ht="12.75">
      <c r="A35" s="190" t="s">
        <v>249</v>
      </c>
      <c r="B35" s="193" t="s">
        <v>2285</v>
      </c>
      <c r="C35" s="20"/>
      <c r="D35" s="27"/>
      <c r="E35" s="57"/>
      <c r="F35" s="32"/>
      <c r="G35" s="80"/>
      <c r="H35" s="19"/>
      <c r="I35" s="204">
        <v>4.7</v>
      </c>
      <c r="J35" s="27"/>
      <c r="K35" s="57">
        <f t="shared" si="6"/>
        <v>503.80879200000004</v>
      </c>
      <c r="L35" s="369">
        <f t="shared" si="1"/>
        <v>594.49437456</v>
      </c>
      <c r="M35" s="80">
        <f>748.57*1.1*3*1.1</f>
        <v>2717.309100000001</v>
      </c>
      <c r="N35" s="75">
        <f t="shared" si="4"/>
        <v>3206.4247380000006</v>
      </c>
      <c r="O35" s="112" t="s">
        <v>2286</v>
      </c>
    </row>
    <row r="36" spans="1:15" s="111" customFormat="1" ht="12.75">
      <c r="A36" s="330" t="s">
        <v>250</v>
      </c>
      <c r="B36" s="322" t="s">
        <v>402</v>
      </c>
      <c r="C36" s="228"/>
      <c r="D36" s="229"/>
      <c r="E36" s="230"/>
      <c r="F36" s="258"/>
      <c r="G36" s="259"/>
      <c r="H36" s="243"/>
      <c r="I36" s="347">
        <v>3.2</v>
      </c>
      <c r="J36" s="229"/>
      <c r="K36" s="230">
        <f>I36*97.36*1.101</f>
        <v>343.018752</v>
      </c>
      <c r="L36" s="370">
        <f t="shared" si="1"/>
        <v>404.76212735999997</v>
      </c>
      <c r="M36" s="80">
        <f>509.67*1.1*3*1.1</f>
        <v>1850.1021000000003</v>
      </c>
      <c r="N36" s="240">
        <f t="shared" si="4"/>
        <v>2183.1204780000003</v>
      </c>
      <c r="O36" s="112"/>
    </row>
    <row r="37" spans="1:15" s="111" customFormat="1" ht="12.75">
      <c r="A37" s="330" t="s">
        <v>251</v>
      </c>
      <c r="B37" s="346" t="s">
        <v>2655</v>
      </c>
      <c r="C37" s="228"/>
      <c r="D37" s="229"/>
      <c r="E37" s="230"/>
      <c r="F37" s="258"/>
      <c r="G37" s="259"/>
      <c r="H37" s="243"/>
      <c r="I37" s="204">
        <v>3.8</v>
      </c>
      <c r="J37" s="27"/>
      <c r="K37" s="57">
        <f t="shared" si="6"/>
        <v>407.33476799999994</v>
      </c>
      <c r="L37" s="369">
        <f t="shared" si="1"/>
        <v>480.6550262399999</v>
      </c>
      <c r="M37" s="80">
        <f>605.23*1.1*3*1.1</f>
        <v>2196.9849000000004</v>
      </c>
      <c r="N37" s="19">
        <f t="shared" si="4"/>
        <v>2592.4421820000002</v>
      </c>
      <c r="O37" s="112" t="s">
        <v>2286</v>
      </c>
    </row>
    <row r="38" spans="1:15" s="111" customFormat="1" ht="12.75">
      <c r="A38" s="330" t="s">
        <v>2652</v>
      </c>
      <c r="B38" s="349" t="s">
        <v>2831</v>
      </c>
      <c r="C38" s="348"/>
      <c r="D38" s="27"/>
      <c r="E38" s="57"/>
      <c r="F38" s="32"/>
      <c r="G38" s="80"/>
      <c r="H38" s="19"/>
      <c r="I38" s="204">
        <v>3.5</v>
      </c>
      <c r="J38" s="27"/>
      <c r="K38" s="57">
        <f t="shared" si="6"/>
        <v>375.17676</v>
      </c>
      <c r="L38" s="369">
        <f t="shared" si="1"/>
        <v>442.7085768</v>
      </c>
      <c r="M38" s="80">
        <f>557.45*1.1*3*1.1</f>
        <v>2023.5435000000002</v>
      </c>
      <c r="N38" s="19">
        <f t="shared" si="4"/>
        <v>2387.7813300000003</v>
      </c>
      <c r="O38" s="112"/>
    </row>
    <row r="39" spans="1:15" s="111" customFormat="1" ht="12.75">
      <c r="A39" s="330" t="s">
        <v>2653</v>
      </c>
      <c r="B39" s="349" t="s">
        <v>2832</v>
      </c>
      <c r="C39" s="348"/>
      <c r="D39" s="27"/>
      <c r="E39" s="57"/>
      <c r="F39" s="32"/>
      <c r="G39" s="80"/>
      <c r="H39" s="19"/>
      <c r="I39" s="204">
        <v>3.5</v>
      </c>
      <c r="J39" s="27"/>
      <c r="K39" s="57">
        <f t="shared" si="6"/>
        <v>375.17676</v>
      </c>
      <c r="L39" s="369">
        <f t="shared" si="1"/>
        <v>442.7085768</v>
      </c>
      <c r="M39" s="80">
        <f>557.45*1.1*3*1.1</f>
        <v>2023.5435000000002</v>
      </c>
      <c r="N39" s="19">
        <f t="shared" si="4"/>
        <v>2387.7813300000003</v>
      </c>
      <c r="O39" s="112"/>
    </row>
    <row r="40" spans="1:15" s="111" customFormat="1" ht="12.75">
      <c r="A40" s="330" t="s">
        <v>2654</v>
      </c>
      <c r="B40" s="349" t="s">
        <v>2833</v>
      </c>
      <c r="C40" s="348"/>
      <c r="D40" s="27"/>
      <c r="E40" s="57"/>
      <c r="F40" s="32"/>
      <c r="G40" s="80"/>
      <c r="H40" s="19"/>
      <c r="I40" s="204">
        <v>3.5</v>
      </c>
      <c r="J40" s="27"/>
      <c r="K40" s="57">
        <f t="shared" si="6"/>
        <v>375.17676</v>
      </c>
      <c r="L40" s="369">
        <f t="shared" si="1"/>
        <v>442.7085768</v>
      </c>
      <c r="M40" s="80">
        <f>557.45*1.1*3*1.1</f>
        <v>2023.5435000000002</v>
      </c>
      <c r="N40" s="19">
        <f t="shared" si="4"/>
        <v>2387.7813300000003</v>
      </c>
      <c r="O40" s="112"/>
    </row>
    <row r="41" spans="1:15" s="111" customFormat="1" ht="12.75">
      <c r="A41" s="330" t="s">
        <v>2846</v>
      </c>
      <c r="B41" s="349" t="s">
        <v>2834</v>
      </c>
      <c r="C41" s="348"/>
      <c r="D41" s="27"/>
      <c r="E41" s="57"/>
      <c r="F41" s="32"/>
      <c r="G41" s="80"/>
      <c r="H41" s="19"/>
      <c r="I41" s="204">
        <v>3.5</v>
      </c>
      <c r="J41" s="27"/>
      <c r="K41" s="57">
        <f t="shared" si="6"/>
        <v>375.17676</v>
      </c>
      <c r="L41" s="369">
        <f t="shared" si="1"/>
        <v>442.7085768</v>
      </c>
      <c r="M41" s="80">
        <f>557.45*1.1*3*1.1</f>
        <v>2023.5435000000002</v>
      </c>
      <c r="N41" s="19">
        <f t="shared" si="4"/>
        <v>2387.7813300000003</v>
      </c>
      <c r="O41" s="112"/>
    </row>
    <row r="42" spans="1:15" s="111" customFormat="1" ht="51">
      <c r="A42" s="330" t="s">
        <v>2847</v>
      </c>
      <c r="B42" s="349" t="s">
        <v>2835</v>
      </c>
      <c r="C42" s="348"/>
      <c r="D42" s="27"/>
      <c r="E42" s="57"/>
      <c r="F42" s="32"/>
      <c r="G42" s="80"/>
      <c r="H42" s="19"/>
      <c r="I42" s="204">
        <v>6.5</v>
      </c>
      <c r="J42" s="27"/>
      <c r="K42" s="57">
        <f t="shared" si="6"/>
        <v>696.75684</v>
      </c>
      <c r="L42" s="369">
        <f t="shared" si="1"/>
        <v>822.1730712</v>
      </c>
      <c r="M42" s="80">
        <f>1035.26*1.1*3*1.1</f>
        <v>3757.9938000000006</v>
      </c>
      <c r="N42" s="19">
        <f t="shared" si="4"/>
        <v>4434.432684</v>
      </c>
      <c r="O42" s="112"/>
    </row>
    <row r="43" spans="1:15" s="111" customFormat="1" ht="12.75">
      <c r="A43" s="330" t="s">
        <v>2848</v>
      </c>
      <c r="B43" s="349" t="s">
        <v>2836</v>
      </c>
      <c r="C43" s="348"/>
      <c r="D43" s="27"/>
      <c r="E43" s="57"/>
      <c r="F43" s="32"/>
      <c r="G43" s="80"/>
      <c r="H43" s="19"/>
      <c r="I43" s="204">
        <v>3.5</v>
      </c>
      <c r="J43" s="27"/>
      <c r="K43" s="57">
        <f t="shared" si="6"/>
        <v>375.17676</v>
      </c>
      <c r="L43" s="369">
        <f t="shared" si="1"/>
        <v>442.7085768</v>
      </c>
      <c r="M43" s="80">
        <f>557.45*1.1*3*1.1</f>
        <v>2023.5435000000002</v>
      </c>
      <c r="N43" s="19">
        <f t="shared" si="4"/>
        <v>2387.7813300000003</v>
      </c>
      <c r="O43" s="112"/>
    </row>
    <row r="44" spans="1:15" s="111" customFormat="1" ht="12.75">
      <c r="A44" s="330" t="s">
        <v>2849</v>
      </c>
      <c r="B44" s="349" t="s">
        <v>2837</v>
      </c>
      <c r="C44" s="348"/>
      <c r="D44" s="27"/>
      <c r="E44" s="57"/>
      <c r="F44" s="32"/>
      <c r="G44" s="80"/>
      <c r="H44" s="19"/>
      <c r="I44" s="204">
        <v>3.8</v>
      </c>
      <c r="J44" s="27"/>
      <c r="K44" s="57">
        <f t="shared" si="6"/>
        <v>407.33476799999994</v>
      </c>
      <c r="L44" s="369">
        <f t="shared" si="1"/>
        <v>480.6550262399999</v>
      </c>
      <c r="M44" s="80">
        <f>605.23*1.1*3*1.1</f>
        <v>2196.9849000000004</v>
      </c>
      <c r="N44" s="19">
        <f t="shared" si="4"/>
        <v>2592.4421820000002</v>
      </c>
      <c r="O44" s="112"/>
    </row>
    <row r="45" spans="1:15" s="111" customFormat="1" ht="12.75">
      <c r="A45" s="330" t="s">
        <v>2850</v>
      </c>
      <c r="B45" s="349" t="s">
        <v>2838</v>
      </c>
      <c r="C45" s="348"/>
      <c r="D45" s="27"/>
      <c r="E45" s="57"/>
      <c r="F45" s="32"/>
      <c r="G45" s="80"/>
      <c r="H45" s="19"/>
      <c r="I45" s="204">
        <v>4.1</v>
      </c>
      <c r="J45" s="27"/>
      <c r="K45" s="57">
        <f t="shared" si="6"/>
        <v>439.492776</v>
      </c>
      <c r="L45" s="369">
        <f t="shared" si="1"/>
        <v>518.6014756799999</v>
      </c>
      <c r="M45" s="80">
        <f>653.01*1.1*3*1.1</f>
        <v>2370.4263</v>
      </c>
      <c r="N45" s="19">
        <f t="shared" si="4"/>
        <v>2797.1030339999998</v>
      </c>
      <c r="O45" s="112"/>
    </row>
    <row r="46" spans="1:15" s="111" customFormat="1" ht="12.75">
      <c r="A46" s="330" t="s">
        <v>2851</v>
      </c>
      <c r="B46" s="349" t="s">
        <v>2839</v>
      </c>
      <c r="C46" s="348"/>
      <c r="D46" s="27"/>
      <c r="E46" s="57"/>
      <c r="F46" s="32"/>
      <c r="G46" s="80"/>
      <c r="H46" s="19"/>
      <c r="I46" s="204">
        <v>4.4</v>
      </c>
      <c r="J46" s="27"/>
      <c r="K46" s="57">
        <f t="shared" si="6"/>
        <v>471.650784</v>
      </c>
      <c r="L46" s="369">
        <f t="shared" si="1"/>
        <v>556.54792512</v>
      </c>
      <c r="M46" s="80">
        <f>700.79*1.1*3*1.1</f>
        <v>2543.8677000000002</v>
      </c>
      <c r="N46" s="19">
        <f t="shared" si="4"/>
        <v>3001.763886</v>
      </c>
      <c r="O46" s="112"/>
    </row>
    <row r="47" spans="1:15" s="111" customFormat="1" ht="12.75">
      <c r="A47" s="330" t="s">
        <v>2852</v>
      </c>
      <c r="B47" s="349" t="s">
        <v>2840</v>
      </c>
      <c r="C47" s="348"/>
      <c r="D47" s="27"/>
      <c r="E47" s="57"/>
      <c r="F47" s="32"/>
      <c r="G47" s="80"/>
      <c r="H47" s="19"/>
      <c r="I47" s="204">
        <v>4.7</v>
      </c>
      <c r="J47" s="27"/>
      <c r="K47" s="57">
        <f t="shared" si="6"/>
        <v>503.80879200000004</v>
      </c>
      <c r="L47" s="369">
        <f t="shared" si="1"/>
        <v>594.49437456</v>
      </c>
      <c r="M47" s="80">
        <f>748.57*1.1*3*1.1</f>
        <v>2717.309100000001</v>
      </c>
      <c r="N47" s="19">
        <f t="shared" si="4"/>
        <v>3206.4247380000006</v>
      </c>
      <c r="O47" s="112"/>
    </row>
    <row r="48" spans="1:15" s="111" customFormat="1" ht="12.75">
      <c r="A48" s="330" t="s">
        <v>2853</v>
      </c>
      <c r="B48" s="349" t="s">
        <v>2841</v>
      </c>
      <c r="C48" s="348"/>
      <c r="D48" s="27"/>
      <c r="E48" s="57"/>
      <c r="F48" s="32"/>
      <c r="G48" s="80"/>
      <c r="H48" s="19"/>
      <c r="I48" s="204">
        <v>5</v>
      </c>
      <c r="J48" s="27"/>
      <c r="K48" s="57">
        <f t="shared" si="6"/>
        <v>535.9668</v>
      </c>
      <c r="L48" s="369">
        <f t="shared" si="1"/>
        <v>632.440824</v>
      </c>
      <c r="M48" s="80">
        <f>796.35*1.1*3*1.1</f>
        <v>2890.7505000000006</v>
      </c>
      <c r="N48" s="19">
        <f t="shared" si="4"/>
        <v>3411.0855900000006</v>
      </c>
      <c r="O48" s="112"/>
    </row>
    <row r="49" spans="1:15" s="111" customFormat="1" ht="12.75">
      <c r="A49" s="330" t="s">
        <v>2854</v>
      </c>
      <c r="B49" s="349" t="s">
        <v>2842</v>
      </c>
      <c r="C49" s="348"/>
      <c r="D49" s="27"/>
      <c r="E49" s="57"/>
      <c r="F49" s="32"/>
      <c r="G49" s="80"/>
      <c r="H49" s="19"/>
      <c r="I49" s="204">
        <v>5.3</v>
      </c>
      <c r="J49" s="27"/>
      <c r="K49" s="57">
        <f t="shared" si="6"/>
        <v>568.1248079999999</v>
      </c>
      <c r="L49" s="369">
        <f t="shared" si="1"/>
        <v>670.3872734399998</v>
      </c>
      <c r="M49" s="80">
        <f>844.14*1.1*3*1.1</f>
        <v>3064.2282000000005</v>
      </c>
      <c r="N49" s="19">
        <f t="shared" si="4"/>
        <v>3615.7892760000004</v>
      </c>
      <c r="O49" s="112"/>
    </row>
    <row r="50" spans="1:15" s="111" customFormat="1" ht="12.75">
      <c r="A50" s="330" t="s">
        <v>2855</v>
      </c>
      <c r="B50" s="349" t="s">
        <v>2843</v>
      </c>
      <c r="C50" s="348"/>
      <c r="D50" s="27"/>
      <c r="E50" s="57"/>
      <c r="F50" s="32"/>
      <c r="G50" s="80"/>
      <c r="H50" s="19"/>
      <c r="I50" s="204">
        <v>5.6</v>
      </c>
      <c r="J50" s="27"/>
      <c r="K50" s="57">
        <f t="shared" si="6"/>
        <v>600.282816</v>
      </c>
      <c r="L50" s="369">
        <f t="shared" si="1"/>
        <v>708.33372288</v>
      </c>
      <c r="M50" s="80">
        <f>891.92*1.1*3*1.1</f>
        <v>3237.6696000000006</v>
      </c>
      <c r="N50" s="19">
        <f t="shared" si="4"/>
        <v>3820.4501280000004</v>
      </c>
      <c r="O50" s="112"/>
    </row>
    <row r="51" spans="1:15" s="111" customFormat="1" ht="12.75">
      <c r="A51" s="330" t="s">
        <v>2856</v>
      </c>
      <c r="B51" s="349" t="s">
        <v>2844</v>
      </c>
      <c r="C51" s="348"/>
      <c r="D51" s="27"/>
      <c r="E51" s="57"/>
      <c r="F51" s="32"/>
      <c r="G51" s="80"/>
      <c r="H51" s="19"/>
      <c r="I51" s="204">
        <v>5.9</v>
      </c>
      <c r="J51" s="27"/>
      <c r="K51" s="57">
        <f t="shared" si="6"/>
        <v>632.440824</v>
      </c>
      <c r="L51" s="369">
        <f t="shared" si="1"/>
        <v>746.28017232</v>
      </c>
      <c r="M51" s="80">
        <f>939.7*1.1*3*1.1</f>
        <v>3411.1110000000003</v>
      </c>
      <c r="N51" s="19">
        <f t="shared" si="4"/>
        <v>4025.1109800000004</v>
      </c>
      <c r="O51" s="112"/>
    </row>
    <row r="52" spans="1:15" s="111" customFormat="1" ht="12.75">
      <c r="A52" s="330" t="s">
        <v>2857</v>
      </c>
      <c r="B52" s="349" t="s">
        <v>2845</v>
      </c>
      <c r="C52" s="348"/>
      <c r="D52" s="27"/>
      <c r="E52" s="57"/>
      <c r="F52" s="32"/>
      <c r="G52" s="80"/>
      <c r="H52" s="19"/>
      <c r="I52" s="204">
        <v>6.2</v>
      </c>
      <c r="J52" s="27"/>
      <c r="K52" s="57">
        <f t="shared" si="6"/>
        <v>664.598832</v>
      </c>
      <c r="L52" s="369">
        <f t="shared" si="1"/>
        <v>784.22662176</v>
      </c>
      <c r="M52" s="80">
        <f>987.48*1.1*3*1.1</f>
        <v>3584.5524000000005</v>
      </c>
      <c r="N52" s="19">
        <f t="shared" si="4"/>
        <v>4229.771832</v>
      </c>
      <c r="O52" s="112"/>
    </row>
    <row r="53" spans="1:15" s="111" customFormat="1" ht="13.5" thickBot="1">
      <c r="A53" s="406" t="s">
        <v>2863</v>
      </c>
      <c r="B53" s="407" t="s">
        <v>2861</v>
      </c>
      <c r="C53" s="408"/>
      <c r="D53" s="409"/>
      <c r="E53" s="96"/>
      <c r="F53" s="410"/>
      <c r="G53" s="411"/>
      <c r="H53" s="412"/>
      <c r="I53" s="413">
        <v>5</v>
      </c>
      <c r="J53" s="414"/>
      <c r="K53" s="65">
        <f>I53*97.36*1.101</f>
        <v>535.9668</v>
      </c>
      <c r="L53" s="415">
        <f>K53*1.18</f>
        <v>632.440824</v>
      </c>
      <c r="M53" s="411">
        <f>796.35*1.1*3*1.1</f>
        <v>2890.7505000000006</v>
      </c>
      <c r="N53" s="412">
        <f>M53*1.18</f>
        <v>3411.0855900000006</v>
      </c>
      <c r="O53" s="112"/>
    </row>
    <row r="54" spans="1:14" ht="13.5" customHeight="1" thickBot="1">
      <c r="A54" s="422" t="s">
        <v>2608</v>
      </c>
      <c r="B54" s="959" t="s">
        <v>749</v>
      </c>
      <c r="C54" s="960"/>
      <c r="D54" s="960"/>
      <c r="E54" s="960"/>
      <c r="F54" s="960"/>
      <c r="G54" s="960"/>
      <c r="H54" s="960"/>
      <c r="I54" s="960"/>
      <c r="J54" s="960"/>
      <c r="K54" s="960"/>
      <c r="L54" s="960"/>
      <c r="M54" s="960"/>
      <c r="N54" s="961"/>
    </row>
    <row r="55" spans="1:14" s="3" customFormat="1" ht="12.75">
      <c r="A55" s="231" t="s">
        <v>2448</v>
      </c>
      <c r="B55" s="244" t="s">
        <v>742</v>
      </c>
      <c r="C55" s="416">
        <v>2.3</v>
      </c>
      <c r="D55" s="417">
        <v>228.74</v>
      </c>
      <c r="E55" s="418">
        <f aca="true" t="shared" si="7" ref="E55:E118">C55*97.36*1.101</f>
        <v>246.54472799999996</v>
      </c>
      <c r="F55" s="419">
        <f t="shared" si="0"/>
        <v>290.92277903999997</v>
      </c>
      <c r="G55" s="34">
        <f t="shared" si="2"/>
        <v>326.0554027799999</v>
      </c>
      <c r="H55" s="34">
        <f t="shared" si="3"/>
        <v>384.74537528039986</v>
      </c>
      <c r="I55" s="420">
        <v>2.3</v>
      </c>
      <c r="J55" s="417">
        <v>228.74</v>
      </c>
      <c r="K55" s="418">
        <f aca="true" t="shared" si="8" ref="K55:K118">I55*97.36*1.101</f>
        <v>246.54472799999996</v>
      </c>
      <c r="L55" s="421">
        <f t="shared" si="1"/>
        <v>290.92277903999997</v>
      </c>
      <c r="M55" s="34">
        <f>M56+M57+M58</f>
        <v>1329.7779</v>
      </c>
      <c r="N55" s="184">
        <f t="shared" si="4"/>
        <v>1569.137922</v>
      </c>
    </row>
    <row r="56" spans="1:14" ht="12.75">
      <c r="A56" s="189"/>
      <c r="B56" s="126" t="s">
        <v>750</v>
      </c>
      <c r="C56" s="8">
        <v>0.4</v>
      </c>
      <c r="D56" s="29">
        <v>39.78</v>
      </c>
      <c r="E56" s="57">
        <f t="shared" si="7"/>
        <v>42.877344</v>
      </c>
      <c r="F56" s="50">
        <f t="shared" si="0"/>
        <v>50.595265919999996</v>
      </c>
      <c r="G56" s="82">
        <f t="shared" si="2"/>
        <v>56.70528743999999</v>
      </c>
      <c r="H56" s="80">
        <f t="shared" si="3"/>
        <v>66.91223917919999</v>
      </c>
      <c r="I56" s="74">
        <v>0.4</v>
      </c>
      <c r="J56" s="29">
        <v>39.78</v>
      </c>
      <c r="K56" s="57">
        <f t="shared" si="8"/>
        <v>42.877344</v>
      </c>
      <c r="L56" s="369">
        <f t="shared" si="1"/>
        <v>50.595265919999996</v>
      </c>
      <c r="M56" s="82">
        <f>63.71*1.1*3*1.1</f>
        <v>231.2673</v>
      </c>
      <c r="N56" s="194">
        <f>M56*1.18</f>
        <v>272.895414</v>
      </c>
    </row>
    <row r="57" spans="1:14" ht="12.75">
      <c r="A57" s="189"/>
      <c r="B57" s="126" t="s">
        <v>751</v>
      </c>
      <c r="C57" s="8">
        <v>0.7</v>
      </c>
      <c r="D57" s="29">
        <v>69.62</v>
      </c>
      <c r="E57" s="57">
        <f t="shared" si="7"/>
        <v>75.035352</v>
      </c>
      <c r="F57" s="50">
        <f t="shared" si="0"/>
        <v>88.54171536</v>
      </c>
      <c r="G57" s="82">
        <f t="shared" si="2"/>
        <v>99.23425302</v>
      </c>
      <c r="H57" s="80">
        <f t="shared" si="3"/>
        <v>117.0964185636</v>
      </c>
      <c r="I57" s="74">
        <v>0.7</v>
      </c>
      <c r="J57" s="29">
        <v>69.62</v>
      </c>
      <c r="K57" s="57">
        <f t="shared" si="8"/>
        <v>75.035352</v>
      </c>
      <c r="L57" s="369">
        <f t="shared" si="1"/>
        <v>88.54171536</v>
      </c>
      <c r="M57" s="82">
        <f>111.49*1.1*3*1.1</f>
        <v>404.7087000000001</v>
      </c>
      <c r="N57" s="194">
        <f t="shared" si="4"/>
        <v>477.55626600000005</v>
      </c>
    </row>
    <row r="58" spans="1:14" ht="12.75">
      <c r="A58" s="189"/>
      <c r="B58" s="195" t="s">
        <v>752</v>
      </c>
      <c r="C58" s="15">
        <v>1.2</v>
      </c>
      <c r="D58" s="29">
        <v>119.34</v>
      </c>
      <c r="E58" s="57">
        <f t="shared" si="7"/>
        <v>128.63203199999998</v>
      </c>
      <c r="F58" s="50">
        <f t="shared" si="0"/>
        <v>151.78579775999998</v>
      </c>
      <c r="G58" s="82">
        <f t="shared" si="2"/>
        <v>170.11586231999993</v>
      </c>
      <c r="H58" s="80">
        <f t="shared" si="3"/>
        <v>200.7367175375999</v>
      </c>
      <c r="I58" s="120">
        <v>1.2</v>
      </c>
      <c r="J58" s="29">
        <v>119.34</v>
      </c>
      <c r="K58" s="57">
        <f t="shared" si="8"/>
        <v>128.63203199999998</v>
      </c>
      <c r="L58" s="369">
        <f t="shared" si="1"/>
        <v>151.78579775999998</v>
      </c>
      <c r="M58" s="82">
        <f>191.13*1.1*3*1.1</f>
        <v>693.8019</v>
      </c>
      <c r="N58" s="194">
        <f t="shared" si="4"/>
        <v>818.686242</v>
      </c>
    </row>
    <row r="59" spans="1:14" s="3" customFormat="1" ht="12.75">
      <c r="A59" s="434" t="s">
        <v>2449</v>
      </c>
      <c r="B59" s="123" t="s">
        <v>753</v>
      </c>
      <c r="C59" s="14">
        <v>3.3</v>
      </c>
      <c r="D59" s="30">
        <v>328.19</v>
      </c>
      <c r="E59" s="59">
        <f t="shared" si="7"/>
        <v>353.73808799999995</v>
      </c>
      <c r="F59" s="50">
        <f t="shared" si="0"/>
        <v>417.4109438399999</v>
      </c>
      <c r="G59" s="34">
        <f t="shared" si="2"/>
        <v>467.81862137999985</v>
      </c>
      <c r="H59" s="19">
        <f t="shared" si="3"/>
        <v>552.0259732283998</v>
      </c>
      <c r="I59" s="207">
        <v>3.3</v>
      </c>
      <c r="J59" s="30">
        <v>328.19</v>
      </c>
      <c r="K59" s="59">
        <f t="shared" si="8"/>
        <v>353.73808799999995</v>
      </c>
      <c r="L59" s="369">
        <f t="shared" si="1"/>
        <v>417.4109438399999</v>
      </c>
      <c r="M59" s="34">
        <f>M60+M61+M62</f>
        <v>1907.9280000000003</v>
      </c>
      <c r="N59" s="75">
        <f t="shared" si="4"/>
        <v>2251.3550400000004</v>
      </c>
    </row>
    <row r="60" spans="1:14" ht="12.75">
      <c r="A60" s="189"/>
      <c r="B60" s="126" t="s">
        <v>750</v>
      </c>
      <c r="C60" s="15">
        <v>0.4</v>
      </c>
      <c r="D60" s="18">
        <v>39.78</v>
      </c>
      <c r="E60" s="57">
        <f t="shared" si="7"/>
        <v>42.877344</v>
      </c>
      <c r="F60" s="50">
        <f t="shared" si="0"/>
        <v>50.595265919999996</v>
      </c>
      <c r="G60" s="82">
        <f t="shared" si="2"/>
        <v>56.70528743999999</v>
      </c>
      <c r="H60" s="80">
        <f t="shared" si="3"/>
        <v>66.91223917919999</v>
      </c>
      <c r="I60" s="120">
        <v>0.4</v>
      </c>
      <c r="J60" s="18">
        <v>39.78</v>
      </c>
      <c r="K60" s="57">
        <f t="shared" si="8"/>
        <v>42.877344</v>
      </c>
      <c r="L60" s="369">
        <f t="shared" si="1"/>
        <v>50.595265919999996</v>
      </c>
      <c r="M60" s="82">
        <f>63.71*1.1*3*1.1</f>
        <v>231.2673</v>
      </c>
      <c r="N60" s="194">
        <f t="shared" si="4"/>
        <v>272.895414</v>
      </c>
    </row>
    <row r="61" spans="1:14" ht="12.75">
      <c r="A61" s="189"/>
      <c r="B61" s="126" t="s">
        <v>754</v>
      </c>
      <c r="C61" s="8">
        <v>0.4</v>
      </c>
      <c r="D61" s="18">
        <v>39.78</v>
      </c>
      <c r="E61" s="57">
        <f t="shared" si="7"/>
        <v>42.877344</v>
      </c>
      <c r="F61" s="50">
        <f t="shared" si="0"/>
        <v>50.595265919999996</v>
      </c>
      <c r="G61" s="82">
        <f t="shared" si="2"/>
        <v>56.70528743999999</v>
      </c>
      <c r="H61" s="80">
        <f t="shared" si="3"/>
        <v>66.91223917919999</v>
      </c>
      <c r="I61" s="74">
        <v>0.4</v>
      </c>
      <c r="J61" s="18">
        <v>39.78</v>
      </c>
      <c r="K61" s="57">
        <f t="shared" si="8"/>
        <v>42.877344</v>
      </c>
      <c r="L61" s="369">
        <f t="shared" si="1"/>
        <v>50.595265919999996</v>
      </c>
      <c r="M61" s="82">
        <f>63.71*1.1*3*1.1</f>
        <v>231.2673</v>
      </c>
      <c r="N61" s="194">
        <f t="shared" si="4"/>
        <v>272.895414</v>
      </c>
    </row>
    <row r="62" spans="1:14" ht="12.75">
      <c r="A62" s="189"/>
      <c r="B62" s="126" t="s">
        <v>755</v>
      </c>
      <c r="C62" s="8">
        <v>2.5</v>
      </c>
      <c r="D62" s="18">
        <v>248.63</v>
      </c>
      <c r="E62" s="57">
        <f t="shared" si="7"/>
        <v>267.9834</v>
      </c>
      <c r="F62" s="50">
        <f t="shared" si="0"/>
        <v>316.220412</v>
      </c>
      <c r="G62" s="82">
        <f t="shared" si="2"/>
        <v>354.40804649999995</v>
      </c>
      <c r="H62" s="80">
        <f t="shared" si="3"/>
        <v>418.2014948699999</v>
      </c>
      <c r="I62" s="74">
        <v>2.5</v>
      </c>
      <c r="J62" s="18">
        <v>248.63</v>
      </c>
      <c r="K62" s="57">
        <f t="shared" si="8"/>
        <v>267.9834</v>
      </c>
      <c r="L62" s="369">
        <f t="shared" si="1"/>
        <v>316.220412</v>
      </c>
      <c r="M62" s="80">
        <f>398.18*1.1*3*1.1</f>
        <v>1445.3934000000004</v>
      </c>
      <c r="N62" s="194">
        <f t="shared" si="4"/>
        <v>1705.5642120000005</v>
      </c>
    </row>
    <row r="63" spans="1:14" s="3" customFormat="1" ht="12.75">
      <c r="A63" s="434" t="s">
        <v>2450</v>
      </c>
      <c r="B63" s="123" t="s">
        <v>561</v>
      </c>
      <c r="C63" s="14">
        <v>3.7</v>
      </c>
      <c r="D63" s="30">
        <v>367.97</v>
      </c>
      <c r="E63" s="59">
        <f t="shared" si="7"/>
        <v>396.615432</v>
      </c>
      <c r="F63" s="50">
        <f t="shared" si="0"/>
        <v>468.00620976</v>
      </c>
      <c r="G63" s="34">
        <f t="shared" si="2"/>
        <v>524.52390882</v>
      </c>
      <c r="H63" s="19">
        <f t="shared" si="3"/>
        <v>618.9382124076</v>
      </c>
      <c r="I63" s="207">
        <v>3.7</v>
      </c>
      <c r="J63" s="30">
        <v>367.97</v>
      </c>
      <c r="K63" s="59">
        <f t="shared" si="8"/>
        <v>396.615432</v>
      </c>
      <c r="L63" s="369">
        <f t="shared" si="1"/>
        <v>468.00620976</v>
      </c>
      <c r="M63" s="34">
        <f>M64+M65+M66</f>
        <v>2139.1590000000006</v>
      </c>
      <c r="N63" s="75">
        <f t="shared" si="4"/>
        <v>2524.2076200000006</v>
      </c>
    </row>
    <row r="64" spans="1:14" ht="12.75">
      <c r="A64" s="189"/>
      <c r="B64" s="126" t="s">
        <v>756</v>
      </c>
      <c r="C64" s="9">
        <v>1</v>
      </c>
      <c r="D64" s="18">
        <v>99.45</v>
      </c>
      <c r="E64" s="57">
        <f t="shared" si="7"/>
        <v>107.19336</v>
      </c>
      <c r="F64" s="50">
        <f t="shared" si="0"/>
        <v>126.48816479999999</v>
      </c>
      <c r="G64" s="82">
        <f t="shared" si="2"/>
        <v>141.76321859999996</v>
      </c>
      <c r="H64" s="80">
        <f t="shared" si="3"/>
        <v>167.28059794799995</v>
      </c>
      <c r="I64" s="74">
        <v>1</v>
      </c>
      <c r="J64" s="18">
        <v>99.45</v>
      </c>
      <c r="K64" s="57">
        <f t="shared" si="8"/>
        <v>107.19336</v>
      </c>
      <c r="L64" s="369">
        <f t="shared" si="1"/>
        <v>126.48816479999999</v>
      </c>
      <c r="M64" s="82">
        <f>159.27*1.1*3*1.1</f>
        <v>578.1501000000002</v>
      </c>
      <c r="N64" s="194">
        <f t="shared" si="4"/>
        <v>682.2171180000001</v>
      </c>
    </row>
    <row r="65" spans="1:14" ht="12.75">
      <c r="A65" s="189"/>
      <c r="B65" s="126" t="s">
        <v>757</v>
      </c>
      <c r="C65" s="8">
        <v>1.3</v>
      </c>
      <c r="D65" s="18">
        <v>129.29</v>
      </c>
      <c r="E65" s="57">
        <f t="shared" si="7"/>
        <v>139.351368</v>
      </c>
      <c r="F65" s="50">
        <f t="shared" si="0"/>
        <v>164.43461424</v>
      </c>
      <c r="G65" s="82">
        <f t="shared" si="2"/>
        <v>184.29218417999996</v>
      </c>
      <c r="H65" s="80">
        <f t="shared" si="3"/>
        <v>217.46477733239993</v>
      </c>
      <c r="I65" s="74">
        <v>1.3</v>
      </c>
      <c r="J65" s="18">
        <v>129.29</v>
      </c>
      <c r="K65" s="57">
        <f t="shared" si="8"/>
        <v>139.351368</v>
      </c>
      <c r="L65" s="369">
        <f t="shared" si="1"/>
        <v>164.43461424</v>
      </c>
      <c r="M65" s="82">
        <f>207.05*1.1*3*1.1</f>
        <v>751.5915000000002</v>
      </c>
      <c r="N65" s="194">
        <f t="shared" si="4"/>
        <v>886.8779700000002</v>
      </c>
    </row>
    <row r="66" spans="1:14" ht="12.75">
      <c r="A66" s="189"/>
      <c r="B66" s="126" t="s">
        <v>758</v>
      </c>
      <c r="C66" s="8">
        <v>1.4</v>
      </c>
      <c r="D66" s="18">
        <v>139.23</v>
      </c>
      <c r="E66" s="57">
        <f t="shared" si="7"/>
        <v>150.070704</v>
      </c>
      <c r="F66" s="50">
        <f t="shared" si="0"/>
        <v>177.08343072</v>
      </c>
      <c r="G66" s="82">
        <f t="shared" si="2"/>
        <v>198.46850604</v>
      </c>
      <c r="H66" s="80">
        <f t="shared" si="3"/>
        <v>234.1928371272</v>
      </c>
      <c r="I66" s="74">
        <v>1.4</v>
      </c>
      <c r="J66" s="18">
        <v>139.23</v>
      </c>
      <c r="K66" s="57">
        <f t="shared" si="8"/>
        <v>150.070704</v>
      </c>
      <c r="L66" s="369">
        <f t="shared" si="1"/>
        <v>177.08343072</v>
      </c>
      <c r="M66" s="80">
        <f>222.98*1.1*3*1.1</f>
        <v>809.4174000000002</v>
      </c>
      <c r="N66" s="194">
        <f t="shared" si="4"/>
        <v>955.1125320000001</v>
      </c>
    </row>
    <row r="67" spans="1:14" s="3" customFormat="1" ht="12.75">
      <c r="A67" s="434" t="s">
        <v>252</v>
      </c>
      <c r="B67" s="123" t="s">
        <v>759</v>
      </c>
      <c r="C67" s="14">
        <v>3.17</v>
      </c>
      <c r="D67" s="30">
        <v>315.26</v>
      </c>
      <c r="E67" s="59">
        <f t="shared" si="7"/>
        <v>339.8029512</v>
      </c>
      <c r="F67" s="50">
        <f t="shared" si="0"/>
        <v>400.967482416</v>
      </c>
      <c r="G67" s="34">
        <f t="shared" si="2"/>
        <v>449.3894029619999</v>
      </c>
      <c r="H67" s="19">
        <f t="shared" si="3"/>
        <v>530.2794954951598</v>
      </c>
      <c r="I67" s="207">
        <v>3.17</v>
      </c>
      <c r="J67" s="30">
        <v>315.26</v>
      </c>
      <c r="K67" s="59">
        <f t="shared" si="8"/>
        <v>339.8029512</v>
      </c>
      <c r="L67" s="369">
        <f t="shared" si="1"/>
        <v>400.967482416</v>
      </c>
      <c r="M67" s="34">
        <f>M68+M69+M70</f>
        <v>1832.7507000000003</v>
      </c>
      <c r="N67" s="75">
        <f t="shared" si="4"/>
        <v>2162.6458260000004</v>
      </c>
    </row>
    <row r="68" spans="1:14" ht="12.75">
      <c r="A68" s="189"/>
      <c r="B68" s="126" t="s">
        <v>756</v>
      </c>
      <c r="C68" s="8">
        <v>0.39</v>
      </c>
      <c r="D68" s="18">
        <v>38.79</v>
      </c>
      <c r="E68" s="57">
        <f t="shared" si="7"/>
        <v>41.8054104</v>
      </c>
      <c r="F68" s="50">
        <f t="shared" si="0"/>
        <v>49.330384271999996</v>
      </c>
      <c r="G68" s="82">
        <f t="shared" si="2"/>
        <v>55.28765525399999</v>
      </c>
      <c r="H68" s="80">
        <f t="shared" si="3"/>
        <v>65.23943319971998</v>
      </c>
      <c r="I68" s="74">
        <v>0.39</v>
      </c>
      <c r="J68" s="18">
        <v>38.79</v>
      </c>
      <c r="K68" s="57">
        <f t="shared" si="8"/>
        <v>41.8054104</v>
      </c>
      <c r="L68" s="369">
        <f t="shared" si="1"/>
        <v>49.330384271999996</v>
      </c>
      <c r="M68" s="82">
        <f>62.12*1.1*3*1.1</f>
        <v>225.49560000000005</v>
      </c>
      <c r="N68" s="194">
        <f t="shared" si="4"/>
        <v>266.08480800000007</v>
      </c>
    </row>
    <row r="69" spans="1:14" ht="12.75">
      <c r="A69" s="188"/>
      <c r="B69" s="196" t="s">
        <v>754</v>
      </c>
      <c r="C69" s="8">
        <v>1.38</v>
      </c>
      <c r="D69" s="18">
        <v>137.24</v>
      </c>
      <c r="E69" s="57">
        <f t="shared" si="7"/>
        <v>147.9268368</v>
      </c>
      <c r="F69" s="50">
        <f t="shared" si="0"/>
        <v>174.55366742399997</v>
      </c>
      <c r="G69" s="82">
        <f t="shared" si="2"/>
        <v>195.63324166799995</v>
      </c>
      <c r="H69" s="80">
        <f t="shared" si="3"/>
        <v>230.84722516823993</v>
      </c>
      <c r="I69" s="74">
        <v>1.38</v>
      </c>
      <c r="J69" s="18">
        <v>137.24</v>
      </c>
      <c r="K69" s="57">
        <f t="shared" si="8"/>
        <v>147.9268368</v>
      </c>
      <c r="L69" s="369">
        <f t="shared" si="1"/>
        <v>174.55366742399997</v>
      </c>
      <c r="M69" s="82">
        <f>219.79*1.1*3*1.1</f>
        <v>797.8377</v>
      </c>
      <c r="N69" s="194">
        <f t="shared" si="4"/>
        <v>941.448486</v>
      </c>
    </row>
    <row r="70" spans="1:14" ht="12.75">
      <c r="A70" s="188"/>
      <c r="B70" s="126" t="s">
        <v>760</v>
      </c>
      <c r="C70" s="8" t="s">
        <v>2312</v>
      </c>
      <c r="D70" s="18" t="s">
        <v>2313</v>
      </c>
      <c r="E70" s="57">
        <f t="shared" si="7"/>
        <v>150.070704</v>
      </c>
      <c r="F70" s="50">
        <f t="shared" si="0"/>
        <v>177.08343072</v>
      </c>
      <c r="G70" s="82">
        <f t="shared" si="2"/>
        <v>198.46850604</v>
      </c>
      <c r="H70" s="80">
        <f t="shared" si="3"/>
        <v>234.1928371272</v>
      </c>
      <c r="I70" s="74" t="s">
        <v>2312</v>
      </c>
      <c r="J70" s="18" t="s">
        <v>2313</v>
      </c>
      <c r="K70" s="57">
        <f t="shared" si="8"/>
        <v>150.070704</v>
      </c>
      <c r="L70" s="369">
        <f t="shared" si="1"/>
        <v>177.08343072</v>
      </c>
      <c r="M70" s="80">
        <f>222.98*1.1*3*1.1</f>
        <v>809.4174000000002</v>
      </c>
      <c r="N70" s="194">
        <f t="shared" si="4"/>
        <v>955.1125320000001</v>
      </c>
    </row>
    <row r="71" spans="1:14" s="3" customFormat="1" ht="12.75">
      <c r="A71" s="434" t="s">
        <v>253</v>
      </c>
      <c r="B71" s="123" t="s">
        <v>761</v>
      </c>
      <c r="C71" s="14" t="s">
        <v>1554</v>
      </c>
      <c r="D71" s="30" t="s">
        <v>1555</v>
      </c>
      <c r="E71" s="59">
        <f t="shared" si="7"/>
        <v>460.93144799999993</v>
      </c>
      <c r="F71" s="50">
        <f t="shared" si="0"/>
        <v>543.8991086399999</v>
      </c>
      <c r="G71" s="34">
        <f t="shared" si="2"/>
        <v>609.5818399799998</v>
      </c>
      <c r="H71" s="19">
        <f t="shared" si="3"/>
        <v>719.3065711763998</v>
      </c>
      <c r="I71" s="207" t="s">
        <v>1554</v>
      </c>
      <c r="J71" s="30" t="s">
        <v>1555</v>
      </c>
      <c r="K71" s="59">
        <f t="shared" si="8"/>
        <v>460.93144799999993</v>
      </c>
      <c r="L71" s="369">
        <f t="shared" si="1"/>
        <v>543.8991086399999</v>
      </c>
      <c r="M71" s="34">
        <f>M72+M73+M74</f>
        <v>2486.041800000001</v>
      </c>
      <c r="N71" s="75">
        <f t="shared" si="4"/>
        <v>2933.529324000001</v>
      </c>
    </row>
    <row r="72" spans="1:14" ht="12.75">
      <c r="A72" s="188"/>
      <c r="B72" s="196" t="s">
        <v>756</v>
      </c>
      <c r="C72" s="8" t="s">
        <v>1054</v>
      </c>
      <c r="D72" s="18" t="s">
        <v>1055</v>
      </c>
      <c r="E72" s="57">
        <f t="shared" si="7"/>
        <v>107.19336</v>
      </c>
      <c r="F72" s="50">
        <f t="shared" si="0"/>
        <v>126.48816479999999</v>
      </c>
      <c r="G72" s="82">
        <f t="shared" si="2"/>
        <v>141.76321859999996</v>
      </c>
      <c r="H72" s="80">
        <f t="shared" si="3"/>
        <v>167.28059794799995</v>
      </c>
      <c r="I72" s="74" t="s">
        <v>1054</v>
      </c>
      <c r="J72" s="18" t="s">
        <v>1055</v>
      </c>
      <c r="K72" s="57">
        <f t="shared" si="8"/>
        <v>107.19336</v>
      </c>
      <c r="L72" s="369">
        <f t="shared" si="1"/>
        <v>126.48816479999999</v>
      </c>
      <c r="M72" s="82">
        <f>159.27*1.1*3*1.1</f>
        <v>578.1501000000002</v>
      </c>
      <c r="N72" s="194">
        <f t="shared" si="4"/>
        <v>682.2171180000001</v>
      </c>
    </row>
    <row r="73" spans="1:14" ht="12.75">
      <c r="A73" s="188"/>
      <c r="B73" s="196" t="s">
        <v>754</v>
      </c>
      <c r="C73" s="8" t="s">
        <v>438</v>
      </c>
      <c r="D73" s="18" t="s">
        <v>1678</v>
      </c>
      <c r="E73" s="57">
        <f t="shared" si="7"/>
        <v>139.351368</v>
      </c>
      <c r="F73" s="50">
        <f t="shared" si="0"/>
        <v>164.43461424</v>
      </c>
      <c r="G73" s="82">
        <f t="shared" si="2"/>
        <v>184.29218417999996</v>
      </c>
      <c r="H73" s="80">
        <f t="shared" si="3"/>
        <v>217.46477733239993</v>
      </c>
      <c r="I73" s="74" t="s">
        <v>438</v>
      </c>
      <c r="J73" s="18" t="s">
        <v>1678</v>
      </c>
      <c r="K73" s="57">
        <f t="shared" si="8"/>
        <v>139.351368</v>
      </c>
      <c r="L73" s="369">
        <f t="shared" si="1"/>
        <v>164.43461424</v>
      </c>
      <c r="M73" s="82">
        <f>207.05*1.1*3*1.1</f>
        <v>751.5915000000002</v>
      </c>
      <c r="N73" s="194">
        <f t="shared" si="4"/>
        <v>886.8779700000002</v>
      </c>
    </row>
    <row r="74" spans="1:14" ht="12.75">
      <c r="A74" s="188"/>
      <c r="B74" s="126" t="s">
        <v>1556</v>
      </c>
      <c r="C74" s="8" t="s">
        <v>2508</v>
      </c>
      <c r="D74" s="18" t="s">
        <v>2509</v>
      </c>
      <c r="E74" s="57">
        <f t="shared" si="7"/>
        <v>214.38672</v>
      </c>
      <c r="F74" s="50">
        <f t="shared" si="0"/>
        <v>252.97632959999999</v>
      </c>
      <c r="G74" s="82">
        <f t="shared" si="2"/>
        <v>283.5264371999999</v>
      </c>
      <c r="H74" s="80">
        <f t="shared" si="3"/>
        <v>334.5611958959999</v>
      </c>
      <c r="I74" s="74" t="s">
        <v>2508</v>
      </c>
      <c r="J74" s="18" t="s">
        <v>2509</v>
      </c>
      <c r="K74" s="57">
        <f t="shared" si="8"/>
        <v>214.38672</v>
      </c>
      <c r="L74" s="369">
        <f t="shared" si="1"/>
        <v>252.97632959999999</v>
      </c>
      <c r="M74" s="80">
        <f>318.54*1.1*3*1.1</f>
        <v>1156.3002000000004</v>
      </c>
      <c r="N74" s="194">
        <f t="shared" si="4"/>
        <v>1364.4342360000003</v>
      </c>
    </row>
    <row r="75" spans="1:14" s="3" customFormat="1" ht="12.75">
      <c r="A75" s="434" t="s">
        <v>254</v>
      </c>
      <c r="B75" s="123" t="s">
        <v>2593</v>
      </c>
      <c r="C75" s="14" t="s">
        <v>768</v>
      </c>
      <c r="D75" s="30" t="s">
        <v>441</v>
      </c>
      <c r="E75" s="59">
        <f t="shared" si="7"/>
        <v>343.018752</v>
      </c>
      <c r="F75" s="50">
        <f t="shared" si="0"/>
        <v>404.76212735999997</v>
      </c>
      <c r="G75" s="34">
        <f t="shared" si="2"/>
        <v>453.64229951999994</v>
      </c>
      <c r="H75" s="19">
        <f t="shared" si="3"/>
        <v>535.2979134335999</v>
      </c>
      <c r="I75" s="207" t="s">
        <v>768</v>
      </c>
      <c r="J75" s="30" t="s">
        <v>441</v>
      </c>
      <c r="K75" s="59">
        <f t="shared" si="8"/>
        <v>343.018752</v>
      </c>
      <c r="L75" s="369">
        <f t="shared" si="1"/>
        <v>404.76212735999997</v>
      </c>
      <c r="M75" s="34">
        <f>M76+M77+M78</f>
        <v>1850.1021000000005</v>
      </c>
      <c r="N75" s="75">
        <f t="shared" si="4"/>
        <v>2183.1204780000003</v>
      </c>
    </row>
    <row r="76" spans="1:14" ht="12.75">
      <c r="A76" s="188"/>
      <c r="B76" s="196" t="s">
        <v>756</v>
      </c>
      <c r="C76" s="8" t="s">
        <v>2590</v>
      </c>
      <c r="D76" s="18" t="s">
        <v>2591</v>
      </c>
      <c r="E76" s="57">
        <f t="shared" si="7"/>
        <v>42.877344</v>
      </c>
      <c r="F76" s="50">
        <f t="shared" si="0"/>
        <v>50.595265919999996</v>
      </c>
      <c r="G76" s="82">
        <f t="shared" si="2"/>
        <v>56.70528743999999</v>
      </c>
      <c r="H76" s="80">
        <f t="shared" si="3"/>
        <v>66.91223917919999</v>
      </c>
      <c r="I76" s="74" t="s">
        <v>2590</v>
      </c>
      <c r="J76" s="18" t="s">
        <v>2591</v>
      </c>
      <c r="K76" s="57">
        <f t="shared" si="8"/>
        <v>42.877344</v>
      </c>
      <c r="L76" s="369">
        <f t="shared" si="1"/>
        <v>50.595265919999996</v>
      </c>
      <c r="M76" s="82">
        <f>63.71*1.1*3*1.1</f>
        <v>231.2673</v>
      </c>
      <c r="N76" s="194">
        <f t="shared" si="4"/>
        <v>272.895414</v>
      </c>
    </row>
    <row r="77" spans="1:14" ht="12.75">
      <c r="A77" s="188"/>
      <c r="B77" s="196" t="s">
        <v>754</v>
      </c>
      <c r="C77" s="8" t="s">
        <v>2312</v>
      </c>
      <c r="D77" s="18" t="s">
        <v>2313</v>
      </c>
      <c r="E77" s="57">
        <f t="shared" si="7"/>
        <v>150.070704</v>
      </c>
      <c r="F77" s="50">
        <f t="shared" si="0"/>
        <v>177.08343072</v>
      </c>
      <c r="G77" s="82">
        <f t="shared" si="2"/>
        <v>198.46850604</v>
      </c>
      <c r="H77" s="80">
        <f t="shared" si="3"/>
        <v>234.1928371272</v>
      </c>
      <c r="I77" s="74" t="s">
        <v>2312</v>
      </c>
      <c r="J77" s="18" t="s">
        <v>2313</v>
      </c>
      <c r="K77" s="57">
        <f t="shared" si="8"/>
        <v>150.070704</v>
      </c>
      <c r="L77" s="369">
        <f t="shared" si="1"/>
        <v>177.08343072</v>
      </c>
      <c r="M77" s="80">
        <f>222.98*1.1*3*1.1</f>
        <v>809.4174000000002</v>
      </c>
      <c r="N77" s="194">
        <f t="shared" si="4"/>
        <v>955.1125320000001</v>
      </c>
    </row>
    <row r="78" spans="1:14" ht="12.75">
      <c r="A78" s="188"/>
      <c r="B78" s="126" t="s">
        <v>1556</v>
      </c>
      <c r="C78" s="8" t="s">
        <v>2312</v>
      </c>
      <c r="D78" s="18" t="s">
        <v>2313</v>
      </c>
      <c r="E78" s="57">
        <f t="shared" si="7"/>
        <v>150.070704</v>
      </c>
      <c r="F78" s="50">
        <f t="shared" si="0"/>
        <v>177.08343072</v>
      </c>
      <c r="G78" s="82">
        <f t="shared" si="2"/>
        <v>198.46850604</v>
      </c>
      <c r="H78" s="80">
        <f t="shared" si="3"/>
        <v>234.1928371272</v>
      </c>
      <c r="I78" s="74" t="s">
        <v>2312</v>
      </c>
      <c r="J78" s="18" t="s">
        <v>2313</v>
      </c>
      <c r="K78" s="57">
        <f t="shared" si="8"/>
        <v>150.070704</v>
      </c>
      <c r="L78" s="369">
        <f t="shared" si="1"/>
        <v>177.08343072</v>
      </c>
      <c r="M78" s="80">
        <f>222.98*1.1*3*1.1</f>
        <v>809.4174000000002</v>
      </c>
      <c r="N78" s="194">
        <f t="shared" si="4"/>
        <v>955.1125320000001</v>
      </c>
    </row>
    <row r="79" spans="1:14" s="3" customFormat="1" ht="12.75">
      <c r="A79" s="434" t="s">
        <v>255</v>
      </c>
      <c r="B79" s="123" t="s">
        <v>2594</v>
      </c>
      <c r="C79" s="14" t="s">
        <v>2595</v>
      </c>
      <c r="D79" s="30" t="s">
        <v>2596</v>
      </c>
      <c r="E79" s="59">
        <f t="shared" si="7"/>
        <v>340.8748848</v>
      </c>
      <c r="F79" s="50">
        <f t="shared" si="0"/>
        <v>402.232364064</v>
      </c>
      <c r="G79" s="34">
        <f t="shared" si="2"/>
        <v>450.80703514799995</v>
      </c>
      <c r="H79" s="19">
        <f t="shared" si="3"/>
        <v>531.95230147464</v>
      </c>
      <c r="I79" s="207" t="s">
        <v>2595</v>
      </c>
      <c r="J79" s="30" t="s">
        <v>2596</v>
      </c>
      <c r="K79" s="59">
        <f t="shared" si="8"/>
        <v>340.8748848</v>
      </c>
      <c r="L79" s="369">
        <f t="shared" si="1"/>
        <v>402.232364064</v>
      </c>
      <c r="M79" s="34">
        <f>M80+M81+M82</f>
        <v>1838.5224000000003</v>
      </c>
      <c r="N79" s="75">
        <f t="shared" si="4"/>
        <v>2169.4564320000004</v>
      </c>
    </row>
    <row r="80" spans="1:14" ht="12.75">
      <c r="A80" s="188"/>
      <c r="B80" s="196" t="s">
        <v>756</v>
      </c>
      <c r="C80" s="8" t="s">
        <v>2590</v>
      </c>
      <c r="D80" s="18" t="s">
        <v>2591</v>
      </c>
      <c r="E80" s="57">
        <f t="shared" si="7"/>
        <v>42.877344</v>
      </c>
      <c r="F80" s="50">
        <f t="shared" si="0"/>
        <v>50.595265919999996</v>
      </c>
      <c r="G80" s="82">
        <f t="shared" si="2"/>
        <v>56.70528743999999</v>
      </c>
      <c r="H80" s="80">
        <f t="shared" si="3"/>
        <v>66.91223917919999</v>
      </c>
      <c r="I80" s="74" t="s">
        <v>2590</v>
      </c>
      <c r="J80" s="18" t="s">
        <v>2591</v>
      </c>
      <c r="K80" s="57">
        <f t="shared" si="8"/>
        <v>42.877344</v>
      </c>
      <c r="L80" s="369">
        <f t="shared" si="1"/>
        <v>50.595265919999996</v>
      </c>
      <c r="M80" s="82">
        <f>63.71*1.1*3*1.1</f>
        <v>231.2673</v>
      </c>
      <c r="N80" s="194">
        <f t="shared" si="4"/>
        <v>272.895414</v>
      </c>
    </row>
    <row r="81" spans="1:14" ht="12.75">
      <c r="A81" s="188"/>
      <c r="B81" s="196" t="s">
        <v>754</v>
      </c>
      <c r="C81" s="8" t="s">
        <v>2597</v>
      </c>
      <c r="D81" s="18" t="s">
        <v>1678</v>
      </c>
      <c r="E81" s="57">
        <f t="shared" si="7"/>
        <v>147.9268368</v>
      </c>
      <c r="F81" s="50">
        <f t="shared" si="0"/>
        <v>174.55366742399997</v>
      </c>
      <c r="G81" s="82">
        <f t="shared" si="2"/>
        <v>195.63324166799995</v>
      </c>
      <c r="H81" s="80">
        <f t="shared" si="3"/>
        <v>230.84722516823993</v>
      </c>
      <c r="I81" s="74" t="s">
        <v>2597</v>
      </c>
      <c r="J81" s="18" t="s">
        <v>1678</v>
      </c>
      <c r="K81" s="57">
        <f t="shared" si="8"/>
        <v>147.9268368</v>
      </c>
      <c r="L81" s="369">
        <f t="shared" si="1"/>
        <v>174.55366742399997</v>
      </c>
      <c r="M81" s="82">
        <f>219.79*1.1*3*1.1</f>
        <v>797.8377</v>
      </c>
      <c r="N81" s="194">
        <f t="shared" si="4"/>
        <v>941.448486</v>
      </c>
    </row>
    <row r="82" spans="1:14" ht="12.75">
      <c r="A82" s="188"/>
      <c r="B82" s="126" t="s">
        <v>1556</v>
      </c>
      <c r="C82" s="8" t="s">
        <v>2312</v>
      </c>
      <c r="D82" s="18" t="s">
        <v>2313</v>
      </c>
      <c r="E82" s="57">
        <f t="shared" si="7"/>
        <v>150.070704</v>
      </c>
      <c r="F82" s="50">
        <f t="shared" si="0"/>
        <v>177.08343072</v>
      </c>
      <c r="G82" s="82">
        <f t="shared" si="2"/>
        <v>198.46850604</v>
      </c>
      <c r="H82" s="80">
        <f t="shared" si="3"/>
        <v>234.1928371272</v>
      </c>
      <c r="I82" s="74" t="s">
        <v>2312</v>
      </c>
      <c r="J82" s="18" t="s">
        <v>2313</v>
      </c>
      <c r="K82" s="57">
        <f t="shared" si="8"/>
        <v>150.070704</v>
      </c>
      <c r="L82" s="369">
        <f t="shared" si="1"/>
        <v>177.08343072</v>
      </c>
      <c r="M82" s="80">
        <f>222.98*1.1*3*1.1</f>
        <v>809.4174000000002</v>
      </c>
      <c r="N82" s="194">
        <f t="shared" si="4"/>
        <v>955.1125320000001</v>
      </c>
    </row>
    <row r="83" spans="1:14" s="3" customFormat="1" ht="12.75">
      <c r="A83" s="434" t="s">
        <v>256</v>
      </c>
      <c r="B83" s="123" t="s">
        <v>2068</v>
      </c>
      <c r="C83" s="14" t="s">
        <v>2388</v>
      </c>
      <c r="D83" s="30" t="s">
        <v>1135</v>
      </c>
      <c r="E83" s="59">
        <f t="shared" si="7"/>
        <v>385.89609599999994</v>
      </c>
      <c r="F83" s="50">
        <f t="shared" si="0"/>
        <v>455.3573932799999</v>
      </c>
      <c r="G83" s="34">
        <f t="shared" si="2"/>
        <v>510.3475869599999</v>
      </c>
      <c r="H83" s="19">
        <f t="shared" si="3"/>
        <v>602.2101526127998</v>
      </c>
      <c r="I83" s="207" t="s">
        <v>2388</v>
      </c>
      <c r="J83" s="30" t="s">
        <v>1135</v>
      </c>
      <c r="K83" s="59">
        <f t="shared" si="8"/>
        <v>385.89609599999994</v>
      </c>
      <c r="L83" s="369">
        <f t="shared" si="1"/>
        <v>455.3573932799999</v>
      </c>
      <c r="M83" s="34">
        <f>M84+M85+M86</f>
        <v>2081.3331000000003</v>
      </c>
      <c r="N83" s="75">
        <f t="shared" si="4"/>
        <v>2455.973058</v>
      </c>
    </row>
    <row r="84" spans="1:14" ht="12.75">
      <c r="A84" s="188"/>
      <c r="B84" s="196" t="s">
        <v>756</v>
      </c>
      <c r="C84" s="8" t="s">
        <v>2590</v>
      </c>
      <c r="D84" s="18" t="s">
        <v>2042</v>
      </c>
      <c r="E84" s="57">
        <f t="shared" si="7"/>
        <v>42.877344</v>
      </c>
      <c r="F84" s="50">
        <f t="shared" si="0"/>
        <v>50.595265919999996</v>
      </c>
      <c r="G84" s="82">
        <f t="shared" si="2"/>
        <v>56.70528743999999</v>
      </c>
      <c r="H84" s="80">
        <f t="shared" si="3"/>
        <v>66.91223917919999</v>
      </c>
      <c r="I84" s="74" t="s">
        <v>2590</v>
      </c>
      <c r="J84" s="18" t="s">
        <v>2042</v>
      </c>
      <c r="K84" s="57">
        <f t="shared" si="8"/>
        <v>42.877344</v>
      </c>
      <c r="L84" s="369">
        <f t="shared" si="1"/>
        <v>50.595265919999996</v>
      </c>
      <c r="M84" s="82">
        <f>63.71*1.1*3*1.1</f>
        <v>231.2673</v>
      </c>
      <c r="N84" s="194">
        <f t="shared" si="4"/>
        <v>272.895414</v>
      </c>
    </row>
    <row r="85" spans="1:14" ht="12.75">
      <c r="A85" s="188"/>
      <c r="B85" s="196" t="s">
        <v>754</v>
      </c>
      <c r="C85" s="8" t="s">
        <v>438</v>
      </c>
      <c r="D85" s="18" t="s">
        <v>2042</v>
      </c>
      <c r="E85" s="57">
        <f t="shared" si="7"/>
        <v>139.351368</v>
      </c>
      <c r="F85" s="50">
        <f t="shared" si="0"/>
        <v>164.43461424</v>
      </c>
      <c r="G85" s="82">
        <f t="shared" si="2"/>
        <v>184.29218417999996</v>
      </c>
      <c r="H85" s="80">
        <f t="shared" si="3"/>
        <v>217.46477733239993</v>
      </c>
      <c r="I85" s="74" t="s">
        <v>438</v>
      </c>
      <c r="J85" s="18" t="s">
        <v>2042</v>
      </c>
      <c r="K85" s="57">
        <f t="shared" si="8"/>
        <v>139.351368</v>
      </c>
      <c r="L85" s="369">
        <f t="shared" si="1"/>
        <v>164.43461424</v>
      </c>
      <c r="M85" s="82">
        <f>207.05*1.1*3*1.1</f>
        <v>751.5915000000002</v>
      </c>
      <c r="N85" s="194">
        <f t="shared" si="4"/>
        <v>886.8779700000002</v>
      </c>
    </row>
    <row r="86" spans="1:14" ht="12.75">
      <c r="A86" s="188"/>
      <c r="B86" s="126" t="s">
        <v>1556</v>
      </c>
      <c r="C86" s="8" t="s">
        <v>1701</v>
      </c>
      <c r="D86" s="18" t="s">
        <v>1136</v>
      </c>
      <c r="E86" s="57">
        <f t="shared" si="7"/>
        <v>203.66738399999997</v>
      </c>
      <c r="F86" s="50">
        <f t="shared" si="0"/>
        <v>240.32751311999996</v>
      </c>
      <c r="G86" s="82">
        <f t="shared" si="2"/>
        <v>269.35011533999995</v>
      </c>
      <c r="H86" s="80">
        <f t="shared" si="3"/>
        <v>317.8331361011999</v>
      </c>
      <c r="I86" s="74" t="s">
        <v>1701</v>
      </c>
      <c r="J86" s="18" t="s">
        <v>1136</v>
      </c>
      <c r="K86" s="57">
        <f t="shared" si="8"/>
        <v>203.66738399999997</v>
      </c>
      <c r="L86" s="369">
        <f t="shared" si="1"/>
        <v>240.32751311999996</v>
      </c>
      <c r="M86" s="82">
        <f>302.61*1.1*3*1.1</f>
        <v>1098.4743</v>
      </c>
      <c r="N86" s="194">
        <f t="shared" si="4"/>
        <v>1296.199674</v>
      </c>
    </row>
    <row r="87" spans="1:14" s="3" customFormat="1" ht="12.75">
      <c r="A87" s="434" t="s">
        <v>257</v>
      </c>
      <c r="B87" s="123" t="s">
        <v>1137</v>
      </c>
      <c r="C87" s="14" t="s">
        <v>2388</v>
      </c>
      <c r="D87" s="30" t="s">
        <v>2389</v>
      </c>
      <c r="E87" s="59">
        <f t="shared" si="7"/>
        <v>385.89609599999994</v>
      </c>
      <c r="F87" s="50">
        <f t="shared" si="0"/>
        <v>455.3573932799999</v>
      </c>
      <c r="G87" s="34">
        <f t="shared" si="2"/>
        <v>510.3475869599999</v>
      </c>
      <c r="H87" s="19">
        <f t="shared" si="3"/>
        <v>602.2101526127998</v>
      </c>
      <c r="I87" s="207" t="s">
        <v>2388</v>
      </c>
      <c r="J87" s="30" t="s">
        <v>2389</v>
      </c>
      <c r="K87" s="59">
        <f t="shared" si="8"/>
        <v>385.89609599999994</v>
      </c>
      <c r="L87" s="369">
        <f t="shared" si="1"/>
        <v>455.3573932799999</v>
      </c>
      <c r="M87" s="34">
        <f>M88+M89+M90</f>
        <v>1838.5224000000003</v>
      </c>
      <c r="N87" s="75">
        <f t="shared" si="4"/>
        <v>2169.4564320000004</v>
      </c>
    </row>
    <row r="88" spans="1:14" ht="12.75">
      <c r="A88" s="188"/>
      <c r="B88" s="196" t="s">
        <v>756</v>
      </c>
      <c r="C88" s="8" t="s">
        <v>2590</v>
      </c>
      <c r="D88" s="18" t="s">
        <v>2591</v>
      </c>
      <c r="E88" s="57">
        <f t="shared" si="7"/>
        <v>42.877344</v>
      </c>
      <c r="F88" s="50">
        <f t="shared" si="0"/>
        <v>50.595265919999996</v>
      </c>
      <c r="G88" s="82">
        <f t="shared" si="2"/>
        <v>56.70528743999999</v>
      </c>
      <c r="H88" s="80">
        <f t="shared" si="3"/>
        <v>66.91223917919999</v>
      </c>
      <c r="I88" s="74" t="s">
        <v>2590</v>
      </c>
      <c r="J88" s="18" t="s">
        <v>2591</v>
      </c>
      <c r="K88" s="57">
        <f t="shared" si="8"/>
        <v>42.877344</v>
      </c>
      <c r="L88" s="369">
        <f t="shared" si="1"/>
        <v>50.595265919999996</v>
      </c>
      <c r="M88" s="82">
        <f>63.71*1.1*3*1.1</f>
        <v>231.2673</v>
      </c>
      <c r="N88" s="194">
        <f t="shared" si="4"/>
        <v>272.895414</v>
      </c>
    </row>
    <row r="89" spans="1:14" ht="12.75">
      <c r="A89" s="188"/>
      <c r="B89" s="196" t="s">
        <v>754</v>
      </c>
      <c r="C89" s="8" t="s">
        <v>2597</v>
      </c>
      <c r="D89" s="18" t="s">
        <v>1138</v>
      </c>
      <c r="E89" s="57">
        <f t="shared" si="7"/>
        <v>147.9268368</v>
      </c>
      <c r="F89" s="50">
        <f t="shared" si="0"/>
        <v>174.55366742399997</v>
      </c>
      <c r="G89" s="82">
        <f t="shared" si="2"/>
        <v>195.63324166799995</v>
      </c>
      <c r="H89" s="80">
        <f t="shared" si="3"/>
        <v>230.84722516823993</v>
      </c>
      <c r="I89" s="74" t="s">
        <v>2597</v>
      </c>
      <c r="J89" s="18" t="s">
        <v>1138</v>
      </c>
      <c r="K89" s="57">
        <f t="shared" si="8"/>
        <v>147.9268368</v>
      </c>
      <c r="L89" s="369">
        <f t="shared" si="1"/>
        <v>174.55366742399997</v>
      </c>
      <c r="M89" s="82">
        <f>219.79*1.1*3*1.1</f>
        <v>797.8377</v>
      </c>
      <c r="N89" s="194">
        <f t="shared" si="4"/>
        <v>941.448486</v>
      </c>
    </row>
    <row r="90" spans="1:14" ht="12.75">
      <c r="A90" s="188"/>
      <c r="B90" s="126" t="s">
        <v>1556</v>
      </c>
      <c r="C90" s="8" t="s">
        <v>2312</v>
      </c>
      <c r="D90" s="18" t="s">
        <v>2313</v>
      </c>
      <c r="E90" s="57">
        <f t="shared" si="7"/>
        <v>150.070704</v>
      </c>
      <c r="F90" s="50">
        <f t="shared" si="0"/>
        <v>177.08343072</v>
      </c>
      <c r="G90" s="82">
        <f t="shared" si="2"/>
        <v>198.46850604</v>
      </c>
      <c r="H90" s="80">
        <f t="shared" si="3"/>
        <v>234.1928371272</v>
      </c>
      <c r="I90" s="74" t="s">
        <v>2312</v>
      </c>
      <c r="J90" s="18" t="s">
        <v>2313</v>
      </c>
      <c r="K90" s="57">
        <f t="shared" si="8"/>
        <v>150.070704</v>
      </c>
      <c r="L90" s="369">
        <f t="shared" si="1"/>
        <v>177.08343072</v>
      </c>
      <c r="M90" s="80">
        <f>222.98*1.1*3*1.1</f>
        <v>809.4174000000002</v>
      </c>
      <c r="N90" s="194">
        <f t="shared" si="4"/>
        <v>955.1125320000001</v>
      </c>
    </row>
    <row r="91" spans="1:14" s="436" customFormat="1" ht="25.5">
      <c r="A91" s="435" t="s">
        <v>258</v>
      </c>
      <c r="B91" s="198" t="s">
        <v>2858</v>
      </c>
      <c r="C91" s="115" t="s">
        <v>1140</v>
      </c>
      <c r="D91" s="116" t="s">
        <v>1141</v>
      </c>
      <c r="E91" s="59">
        <f t="shared" si="7"/>
        <v>380.536428</v>
      </c>
      <c r="F91" s="50">
        <f t="shared" si="0"/>
        <v>449.03298503999997</v>
      </c>
      <c r="G91" s="34">
        <f t="shared" si="2"/>
        <v>503.25942602999993</v>
      </c>
      <c r="H91" s="19">
        <f t="shared" si="3"/>
        <v>593.8461227153999</v>
      </c>
      <c r="I91" s="209">
        <v>4.1</v>
      </c>
      <c r="J91" s="116" t="s">
        <v>1141</v>
      </c>
      <c r="K91" s="59">
        <f t="shared" si="8"/>
        <v>439.492776</v>
      </c>
      <c r="L91" s="369">
        <f t="shared" si="1"/>
        <v>518.6014756799999</v>
      </c>
      <c r="M91" s="34">
        <f>653.01*1.1*3*1.1</f>
        <v>2370.4263</v>
      </c>
      <c r="N91" s="75">
        <f t="shared" si="4"/>
        <v>2797.1030339999998</v>
      </c>
    </row>
    <row r="92" spans="1:14" s="10" customFormat="1" ht="12.75">
      <c r="A92" s="200" t="s">
        <v>259</v>
      </c>
      <c r="B92" s="197" t="s">
        <v>744</v>
      </c>
      <c r="C92" s="43" t="s">
        <v>1142</v>
      </c>
      <c r="D92" s="29" t="s">
        <v>1143</v>
      </c>
      <c r="E92" s="105">
        <f t="shared" si="7"/>
        <v>525.247464</v>
      </c>
      <c r="F92" s="113">
        <f t="shared" si="0"/>
        <v>619.79200752</v>
      </c>
      <c r="G92" s="114">
        <f t="shared" si="2"/>
        <v>694.63977114</v>
      </c>
      <c r="H92" s="86">
        <f t="shared" si="3"/>
        <v>819.6749299451999</v>
      </c>
      <c r="I92" s="208" t="s">
        <v>1142</v>
      </c>
      <c r="J92" s="29" t="s">
        <v>1143</v>
      </c>
      <c r="K92" s="105">
        <f t="shared" si="8"/>
        <v>525.247464</v>
      </c>
      <c r="L92" s="371">
        <f t="shared" si="1"/>
        <v>619.79200752</v>
      </c>
      <c r="M92" s="34">
        <f>M93+M94+M95</f>
        <v>2832.9246000000003</v>
      </c>
      <c r="N92" s="149">
        <f t="shared" si="4"/>
        <v>3342.851028</v>
      </c>
    </row>
    <row r="93" spans="1:14" s="364" customFormat="1" ht="12.75">
      <c r="A93" s="188"/>
      <c r="B93" s="196" t="s">
        <v>756</v>
      </c>
      <c r="C93" s="8" t="s">
        <v>2381</v>
      </c>
      <c r="D93" s="425" t="s">
        <v>2382</v>
      </c>
      <c r="E93" s="551">
        <f t="shared" si="7"/>
        <v>21.438672</v>
      </c>
      <c r="F93" s="426">
        <f t="shared" si="0"/>
        <v>25.297632959999998</v>
      </c>
      <c r="G93" s="400">
        <f t="shared" si="2"/>
        <v>28.352643719999996</v>
      </c>
      <c r="H93" s="394">
        <f t="shared" si="3"/>
        <v>33.45611958959999</v>
      </c>
      <c r="I93" s="74" t="s">
        <v>2381</v>
      </c>
      <c r="J93" s="425" t="s">
        <v>2382</v>
      </c>
      <c r="K93" s="551">
        <f t="shared" si="8"/>
        <v>21.438672</v>
      </c>
      <c r="L93" s="552">
        <f t="shared" si="1"/>
        <v>25.297632959999998</v>
      </c>
      <c r="M93" s="394">
        <f>31.85*1.1*3*1.1</f>
        <v>115.61550000000003</v>
      </c>
      <c r="N93" s="553">
        <f t="shared" si="4"/>
        <v>136.42629000000002</v>
      </c>
    </row>
    <row r="94" spans="1:14" s="364" customFormat="1" ht="12.75">
      <c r="A94" s="188"/>
      <c r="B94" s="196" t="s">
        <v>754</v>
      </c>
      <c r="C94" s="8" t="s">
        <v>1054</v>
      </c>
      <c r="D94" s="425" t="s">
        <v>1055</v>
      </c>
      <c r="E94" s="551">
        <f t="shared" si="7"/>
        <v>107.19336</v>
      </c>
      <c r="F94" s="426">
        <f t="shared" si="0"/>
        <v>126.48816479999999</v>
      </c>
      <c r="G94" s="400">
        <f t="shared" si="2"/>
        <v>141.76321859999996</v>
      </c>
      <c r="H94" s="394">
        <f t="shared" si="3"/>
        <v>167.28059794799995</v>
      </c>
      <c r="I94" s="74" t="s">
        <v>1054</v>
      </c>
      <c r="J94" s="425" t="s">
        <v>1055</v>
      </c>
      <c r="K94" s="551">
        <f t="shared" si="8"/>
        <v>107.19336</v>
      </c>
      <c r="L94" s="552">
        <f t="shared" si="1"/>
        <v>126.48816479999999</v>
      </c>
      <c r="M94" s="394">
        <f>159.27*1.1*3*1.1</f>
        <v>578.1501000000002</v>
      </c>
      <c r="N94" s="553">
        <f t="shared" si="4"/>
        <v>682.2171180000001</v>
      </c>
    </row>
    <row r="95" spans="1:14" s="364" customFormat="1" ht="12.75">
      <c r="A95" s="188"/>
      <c r="B95" s="126" t="s">
        <v>1556</v>
      </c>
      <c r="C95" s="8" t="s">
        <v>1144</v>
      </c>
      <c r="D95" s="425" t="s">
        <v>1145</v>
      </c>
      <c r="E95" s="551">
        <f t="shared" si="7"/>
        <v>396.615432</v>
      </c>
      <c r="F95" s="426">
        <f t="shared" si="0"/>
        <v>468.00620976</v>
      </c>
      <c r="G95" s="400">
        <f t="shared" si="2"/>
        <v>524.52390882</v>
      </c>
      <c r="H95" s="394">
        <f t="shared" si="3"/>
        <v>618.9382124076</v>
      </c>
      <c r="I95" s="74" t="s">
        <v>1144</v>
      </c>
      <c r="J95" s="425" t="s">
        <v>1145</v>
      </c>
      <c r="K95" s="551">
        <f t="shared" si="8"/>
        <v>396.615432</v>
      </c>
      <c r="L95" s="552">
        <f t="shared" si="1"/>
        <v>468.00620976</v>
      </c>
      <c r="M95" s="394">
        <f>589.3*1.1*3*1.1</f>
        <v>2139.159</v>
      </c>
      <c r="N95" s="553">
        <f t="shared" si="4"/>
        <v>2524.20762</v>
      </c>
    </row>
    <row r="96" spans="1:14" s="433" customFormat="1" ht="12.75">
      <c r="A96" s="434" t="s">
        <v>260</v>
      </c>
      <c r="B96" s="123" t="s">
        <v>2069</v>
      </c>
      <c r="C96" s="14" t="s">
        <v>847</v>
      </c>
      <c r="D96" s="405" t="s">
        <v>848</v>
      </c>
      <c r="E96" s="554">
        <f t="shared" si="7"/>
        <v>142.5671688</v>
      </c>
      <c r="F96" s="426">
        <f t="shared" si="0"/>
        <v>168.22925918399997</v>
      </c>
      <c r="G96" s="555">
        <f t="shared" si="2"/>
        <v>188.54508073799997</v>
      </c>
      <c r="H96" s="363">
        <f t="shared" si="3"/>
        <v>222.48319527083996</v>
      </c>
      <c r="I96" s="207" t="s">
        <v>847</v>
      </c>
      <c r="J96" s="405" t="s">
        <v>848</v>
      </c>
      <c r="K96" s="554">
        <f t="shared" si="8"/>
        <v>142.5671688</v>
      </c>
      <c r="L96" s="552">
        <f t="shared" si="1"/>
        <v>168.22925918399997</v>
      </c>
      <c r="M96" s="34">
        <f>M97+M98+M99</f>
        <v>768.9792000000001</v>
      </c>
      <c r="N96" s="366">
        <f t="shared" si="4"/>
        <v>907.3954560000001</v>
      </c>
    </row>
    <row r="97" spans="1:14" s="364" customFormat="1" ht="12.75">
      <c r="A97" s="188"/>
      <c r="B97" s="196" t="s">
        <v>756</v>
      </c>
      <c r="C97" s="8" t="s">
        <v>2038</v>
      </c>
      <c r="D97" s="425" t="s">
        <v>2039</v>
      </c>
      <c r="E97" s="551">
        <f t="shared" si="7"/>
        <v>26.79834</v>
      </c>
      <c r="F97" s="426">
        <f aca="true" t="shared" si="9" ref="F97:F160">E97*1.18</f>
        <v>31.622041199999998</v>
      </c>
      <c r="G97" s="400">
        <f t="shared" si="2"/>
        <v>35.44080464999999</v>
      </c>
      <c r="H97" s="394">
        <f t="shared" si="3"/>
        <v>41.82014948699999</v>
      </c>
      <c r="I97" s="74" t="s">
        <v>2038</v>
      </c>
      <c r="J97" s="425" t="s">
        <v>2039</v>
      </c>
      <c r="K97" s="551">
        <f t="shared" si="8"/>
        <v>26.79834</v>
      </c>
      <c r="L97" s="552">
        <f t="shared" si="1"/>
        <v>31.622041199999998</v>
      </c>
      <c r="M97" s="394">
        <f>39.82*1.1*3*1.1</f>
        <v>144.5466</v>
      </c>
      <c r="N97" s="553">
        <f t="shared" si="4"/>
        <v>170.564988</v>
      </c>
    </row>
    <row r="98" spans="1:14" s="364" customFormat="1" ht="12.75">
      <c r="A98" s="188"/>
      <c r="B98" s="556" t="s">
        <v>754</v>
      </c>
      <c r="C98" s="8" t="s">
        <v>1057</v>
      </c>
      <c r="D98" s="425" t="s">
        <v>1058</v>
      </c>
      <c r="E98" s="551">
        <f t="shared" si="7"/>
        <v>53.59668</v>
      </c>
      <c r="F98" s="426">
        <f t="shared" si="9"/>
        <v>63.244082399999996</v>
      </c>
      <c r="G98" s="400">
        <f t="shared" si="2"/>
        <v>70.88160929999998</v>
      </c>
      <c r="H98" s="394">
        <f t="shared" si="3"/>
        <v>83.64029897399998</v>
      </c>
      <c r="I98" s="74" t="s">
        <v>1057</v>
      </c>
      <c r="J98" s="425" t="s">
        <v>1058</v>
      </c>
      <c r="K98" s="551">
        <f t="shared" si="8"/>
        <v>53.59668</v>
      </c>
      <c r="L98" s="552">
        <f t="shared" si="1"/>
        <v>63.244082399999996</v>
      </c>
      <c r="M98" s="394">
        <f>79.64*1.1*3*1.1</f>
        <v>289.0932</v>
      </c>
      <c r="N98" s="553">
        <f t="shared" si="4"/>
        <v>341.129976</v>
      </c>
    </row>
    <row r="99" spans="1:14" s="364" customFormat="1" ht="12.75">
      <c r="A99" s="188"/>
      <c r="B99" s="126" t="s">
        <v>1556</v>
      </c>
      <c r="C99" s="8" t="s">
        <v>2049</v>
      </c>
      <c r="D99" s="425" t="s">
        <v>2050</v>
      </c>
      <c r="E99" s="551">
        <f t="shared" si="7"/>
        <v>62.172148799999995</v>
      </c>
      <c r="F99" s="426">
        <f t="shared" si="9"/>
        <v>73.36313558399999</v>
      </c>
      <c r="G99" s="400">
        <f t="shared" si="2"/>
        <v>82.22266678799998</v>
      </c>
      <c r="H99" s="394">
        <f t="shared" si="3"/>
        <v>97.02274680983997</v>
      </c>
      <c r="I99" s="74" t="s">
        <v>2049</v>
      </c>
      <c r="J99" s="425" t="s">
        <v>2050</v>
      </c>
      <c r="K99" s="551">
        <f t="shared" si="8"/>
        <v>62.172148799999995</v>
      </c>
      <c r="L99" s="552">
        <f t="shared" si="1"/>
        <v>73.36313558399999</v>
      </c>
      <c r="M99" s="394">
        <f>92.38*1.1*3*1.1</f>
        <v>335.33940000000007</v>
      </c>
      <c r="N99" s="553">
        <f t="shared" si="4"/>
        <v>395.70049200000005</v>
      </c>
    </row>
    <row r="100" spans="1:14" s="433" customFormat="1" ht="12.75">
      <c r="A100" s="434" t="s">
        <v>261</v>
      </c>
      <c r="B100" s="123" t="s">
        <v>1434</v>
      </c>
      <c r="C100" s="14" t="s">
        <v>1435</v>
      </c>
      <c r="D100" s="405" t="s">
        <v>1436</v>
      </c>
      <c r="E100" s="554">
        <f t="shared" si="7"/>
        <v>713.9077776</v>
      </c>
      <c r="F100" s="426">
        <f t="shared" si="9"/>
        <v>842.411177568</v>
      </c>
      <c r="G100" s="555">
        <f t="shared" si="2"/>
        <v>944.143035876</v>
      </c>
      <c r="H100" s="363">
        <f t="shared" si="3"/>
        <v>1114.08878233368</v>
      </c>
      <c r="I100" s="207" t="s">
        <v>1435</v>
      </c>
      <c r="J100" s="405" t="s">
        <v>1436</v>
      </c>
      <c r="K100" s="554">
        <f t="shared" si="8"/>
        <v>713.9077776</v>
      </c>
      <c r="L100" s="552">
        <f aca="true" t="shared" si="10" ref="L100:L163">K100*1.18</f>
        <v>842.411177568</v>
      </c>
      <c r="M100" s="34">
        <f>M101+M102+M103</f>
        <v>3850.5225000000005</v>
      </c>
      <c r="N100" s="366">
        <f t="shared" si="4"/>
        <v>4543.616550000001</v>
      </c>
    </row>
    <row r="101" spans="1:14" s="364" customFormat="1" ht="12.75">
      <c r="A101" s="188"/>
      <c r="B101" s="196" t="s">
        <v>756</v>
      </c>
      <c r="C101" s="8" t="s">
        <v>2041</v>
      </c>
      <c r="D101" s="425" t="s">
        <v>2042</v>
      </c>
      <c r="E101" s="551">
        <f t="shared" si="7"/>
        <v>35.3738088</v>
      </c>
      <c r="F101" s="426">
        <f t="shared" si="9"/>
        <v>41.741094384</v>
      </c>
      <c r="G101" s="400">
        <f t="shared" si="2"/>
        <v>46.78186213799999</v>
      </c>
      <c r="H101" s="394">
        <f t="shared" si="3"/>
        <v>55.202597322839985</v>
      </c>
      <c r="I101" s="74" t="s">
        <v>2041</v>
      </c>
      <c r="J101" s="425" t="s">
        <v>2042</v>
      </c>
      <c r="K101" s="551">
        <f t="shared" si="8"/>
        <v>35.3738088</v>
      </c>
      <c r="L101" s="552">
        <f t="shared" si="10"/>
        <v>41.741094384</v>
      </c>
      <c r="M101" s="394">
        <f>52.56*1.1*3*1.1</f>
        <v>190.79280000000006</v>
      </c>
      <c r="N101" s="553">
        <f aca="true" t="shared" si="11" ref="N101:N164">M101*1.18</f>
        <v>225.13550400000005</v>
      </c>
    </row>
    <row r="102" spans="1:14" s="364" customFormat="1" ht="12.75">
      <c r="A102" s="188"/>
      <c r="B102" s="556" t="s">
        <v>754</v>
      </c>
      <c r="C102" s="8" t="s">
        <v>2309</v>
      </c>
      <c r="D102" s="428"/>
      <c r="E102" s="551">
        <f t="shared" si="7"/>
        <v>70.7476176</v>
      </c>
      <c r="F102" s="426">
        <f t="shared" si="9"/>
        <v>83.482188768</v>
      </c>
      <c r="G102" s="400">
        <f t="shared" si="2"/>
        <v>93.56372427599997</v>
      </c>
      <c r="H102" s="394">
        <f t="shared" si="3"/>
        <v>110.40519464567997</v>
      </c>
      <c r="I102" s="74" t="s">
        <v>2309</v>
      </c>
      <c r="J102" s="428"/>
      <c r="K102" s="551">
        <f t="shared" si="8"/>
        <v>70.7476176</v>
      </c>
      <c r="L102" s="552">
        <f t="shared" si="10"/>
        <v>83.482188768</v>
      </c>
      <c r="M102" s="394">
        <f>105.12*1.1*3*1.1</f>
        <v>381.5856000000001</v>
      </c>
      <c r="N102" s="553">
        <f t="shared" si="11"/>
        <v>450.2710080000001</v>
      </c>
    </row>
    <row r="103" spans="1:14" s="364" customFormat="1" ht="12.75">
      <c r="A103" s="188"/>
      <c r="B103" s="126" t="s">
        <v>760</v>
      </c>
      <c r="C103" s="8" t="s">
        <v>1437</v>
      </c>
      <c r="D103" s="425" t="s">
        <v>1438</v>
      </c>
      <c r="E103" s="551">
        <f t="shared" si="7"/>
        <v>607.7863512</v>
      </c>
      <c r="F103" s="426">
        <f t="shared" si="9"/>
        <v>717.187894416</v>
      </c>
      <c r="G103" s="400">
        <f aca="true" t="shared" si="12" ref="G103:G166">E103*1.15*1.15</f>
        <v>803.7974494619999</v>
      </c>
      <c r="H103" s="394">
        <f t="shared" si="3"/>
        <v>948.4809903651599</v>
      </c>
      <c r="I103" s="74" t="s">
        <v>1437</v>
      </c>
      <c r="J103" s="425" t="s">
        <v>1438</v>
      </c>
      <c r="K103" s="551">
        <f t="shared" si="8"/>
        <v>607.7863512</v>
      </c>
      <c r="L103" s="552">
        <f t="shared" si="10"/>
        <v>717.187894416</v>
      </c>
      <c r="M103" s="394">
        <f>903.07*1.1*3*1.1</f>
        <v>3278.1441000000004</v>
      </c>
      <c r="N103" s="553">
        <f t="shared" si="11"/>
        <v>3868.210038</v>
      </c>
    </row>
    <row r="104" spans="1:14" s="433" customFormat="1" ht="12.75">
      <c r="A104" s="434" t="s">
        <v>262</v>
      </c>
      <c r="B104" s="123" t="s">
        <v>1378</v>
      </c>
      <c r="C104" s="14" t="s">
        <v>1379</v>
      </c>
      <c r="D104" s="405" t="s">
        <v>1380</v>
      </c>
      <c r="E104" s="554">
        <f t="shared" si="7"/>
        <v>471.650784</v>
      </c>
      <c r="F104" s="426">
        <f t="shared" si="9"/>
        <v>556.54792512</v>
      </c>
      <c r="G104" s="555">
        <f t="shared" si="12"/>
        <v>623.7581618399998</v>
      </c>
      <c r="H104" s="363">
        <f aca="true" t="shared" si="13" ref="H104:H166">G104*1.18</f>
        <v>736.0346309711998</v>
      </c>
      <c r="I104" s="207" t="s">
        <v>1379</v>
      </c>
      <c r="J104" s="405" t="s">
        <v>1380</v>
      </c>
      <c r="K104" s="554">
        <f t="shared" si="8"/>
        <v>471.650784</v>
      </c>
      <c r="L104" s="552">
        <f t="shared" si="10"/>
        <v>556.54792512</v>
      </c>
      <c r="M104" s="34">
        <f>M105+M106+M107</f>
        <v>2543.8677000000007</v>
      </c>
      <c r="N104" s="366">
        <f t="shared" si="11"/>
        <v>3001.7638860000006</v>
      </c>
    </row>
    <row r="105" spans="1:14" s="364" customFormat="1" ht="12.75">
      <c r="A105" s="188"/>
      <c r="B105" s="196" t="s">
        <v>756</v>
      </c>
      <c r="C105" s="8" t="s">
        <v>2500</v>
      </c>
      <c r="D105" s="425" t="s">
        <v>1456</v>
      </c>
      <c r="E105" s="551">
        <f t="shared" si="7"/>
        <v>32.158007999999995</v>
      </c>
      <c r="F105" s="426">
        <f t="shared" si="9"/>
        <v>37.946449439999995</v>
      </c>
      <c r="G105" s="400">
        <f t="shared" si="12"/>
        <v>42.52896557999998</v>
      </c>
      <c r="H105" s="394">
        <f t="shared" si="13"/>
        <v>50.184179384399975</v>
      </c>
      <c r="I105" s="74" t="s">
        <v>2500</v>
      </c>
      <c r="J105" s="425" t="s">
        <v>1456</v>
      </c>
      <c r="K105" s="551">
        <f t="shared" si="8"/>
        <v>32.158007999999995</v>
      </c>
      <c r="L105" s="552">
        <f t="shared" si="10"/>
        <v>37.946449439999995</v>
      </c>
      <c r="M105" s="394">
        <f>47.78*1.1*3*1.1</f>
        <v>173.44140000000004</v>
      </c>
      <c r="N105" s="553">
        <f t="shared" si="11"/>
        <v>204.66085200000003</v>
      </c>
    </row>
    <row r="106" spans="1:14" s="364" customFormat="1" ht="12.75">
      <c r="A106" s="188"/>
      <c r="B106" s="556" t="s">
        <v>754</v>
      </c>
      <c r="C106" s="8" t="s">
        <v>438</v>
      </c>
      <c r="D106" s="425" t="s">
        <v>1678</v>
      </c>
      <c r="E106" s="551">
        <f t="shared" si="7"/>
        <v>139.351368</v>
      </c>
      <c r="F106" s="426">
        <f t="shared" si="9"/>
        <v>164.43461424</v>
      </c>
      <c r="G106" s="400">
        <f t="shared" si="12"/>
        <v>184.29218417999996</v>
      </c>
      <c r="H106" s="394">
        <f t="shared" si="13"/>
        <v>217.46477733239993</v>
      </c>
      <c r="I106" s="74" t="s">
        <v>438</v>
      </c>
      <c r="J106" s="425" t="s">
        <v>1678</v>
      </c>
      <c r="K106" s="551">
        <f t="shared" si="8"/>
        <v>139.351368</v>
      </c>
      <c r="L106" s="552">
        <f t="shared" si="10"/>
        <v>164.43461424</v>
      </c>
      <c r="M106" s="394">
        <f>207.05*1.1*3*1.1</f>
        <v>751.5915000000002</v>
      </c>
      <c r="N106" s="553">
        <f t="shared" si="11"/>
        <v>886.8779700000002</v>
      </c>
    </row>
    <row r="107" spans="1:14" s="364" customFormat="1" ht="12.75">
      <c r="A107" s="188"/>
      <c r="B107" s="126" t="s">
        <v>760</v>
      </c>
      <c r="C107" s="8" t="s">
        <v>1551</v>
      </c>
      <c r="D107" s="425" t="s">
        <v>1552</v>
      </c>
      <c r="E107" s="551">
        <f t="shared" si="7"/>
        <v>300.141408</v>
      </c>
      <c r="F107" s="426">
        <f t="shared" si="9"/>
        <v>354.16686144</v>
      </c>
      <c r="G107" s="400">
        <f t="shared" si="12"/>
        <v>396.93701208</v>
      </c>
      <c r="H107" s="394">
        <f t="shared" si="13"/>
        <v>468.3856742544</v>
      </c>
      <c r="I107" s="74" t="s">
        <v>1551</v>
      </c>
      <c r="J107" s="425" t="s">
        <v>1552</v>
      </c>
      <c r="K107" s="551">
        <f t="shared" si="8"/>
        <v>300.141408</v>
      </c>
      <c r="L107" s="552">
        <f t="shared" si="10"/>
        <v>354.16686144</v>
      </c>
      <c r="M107" s="394">
        <f>445.96*1.1*3*1.1</f>
        <v>1618.8348000000003</v>
      </c>
      <c r="N107" s="553">
        <f t="shared" si="11"/>
        <v>1910.2250640000002</v>
      </c>
    </row>
    <row r="108" spans="1:14" s="433" customFormat="1" ht="12.75">
      <c r="A108" s="434" t="s">
        <v>263</v>
      </c>
      <c r="B108" s="123" t="s">
        <v>1381</v>
      </c>
      <c r="C108" s="14" t="s">
        <v>1382</v>
      </c>
      <c r="D108" s="405" t="s">
        <v>713</v>
      </c>
      <c r="E108" s="554">
        <f t="shared" si="7"/>
        <v>364.457424</v>
      </c>
      <c r="F108" s="426">
        <f t="shared" si="9"/>
        <v>430.05976032</v>
      </c>
      <c r="G108" s="555">
        <f t="shared" si="12"/>
        <v>481.99494323999994</v>
      </c>
      <c r="H108" s="363">
        <f t="shared" si="13"/>
        <v>568.7540330231999</v>
      </c>
      <c r="I108" s="207" t="s">
        <v>1382</v>
      </c>
      <c r="J108" s="405" t="s">
        <v>713</v>
      </c>
      <c r="K108" s="554">
        <f t="shared" si="8"/>
        <v>364.457424</v>
      </c>
      <c r="L108" s="552">
        <f t="shared" si="10"/>
        <v>430.05976032</v>
      </c>
      <c r="M108" s="34">
        <f>M109+M110+M111</f>
        <v>1965.7176000000004</v>
      </c>
      <c r="N108" s="366">
        <f t="shared" si="11"/>
        <v>2319.546768</v>
      </c>
    </row>
    <row r="109" spans="1:14" s="364" customFormat="1" ht="12.75">
      <c r="A109" s="188"/>
      <c r="B109" s="196" t="s">
        <v>756</v>
      </c>
      <c r="C109" s="8" t="s">
        <v>2381</v>
      </c>
      <c r="D109" s="425" t="s">
        <v>2382</v>
      </c>
      <c r="E109" s="551">
        <f t="shared" si="7"/>
        <v>21.438672</v>
      </c>
      <c r="F109" s="426">
        <f t="shared" si="9"/>
        <v>25.297632959999998</v>
      </c>
      <c r="G109" s="400">
        <f t="shared" si="12"/>
        <v>28.352643719999996</v>
      </c>
      <c r="H109" s="394">
        <f t="shared" si="13"/>
        <v>33.45611958959999</v>
      </c>
      <c r="I109" s="74" t="s">
        <v>2381</v>
      </c>
      <c r="J109" s="425" t="s">
        <v>2382</v>
      </c>
      <c r="K109" s="551">
        <f t="shared" si="8"/>
        <v>21.438672</v>
      </c>
      <c r="L109" s="552">
        <f t="shared" si="10"/>
        <v>25.297632959999998</v>
      </c>
      <c r="M109" s="394">
        <f>31.85*1.1*3*1.1</f>
        <v>115.61550000000003</v>
      </c>
      <c r="N109" s="553">
        <f t="shared" si="11"/>
        <v>136.42629000000002</v>
      </c>
    </row>
    <row r="110" spans="1:14" s="364" customFormat="1" ht="12.75">
      <c r="A110" s="188"/>
      <c r="B110" s="556" t="s">
        <v>754</v>
      </c>
      <c r="C110" s="8" t="s">
        <v>1618</v>
      </c>
      <c r="D110" s="425" t="s">
        <v>1619</v>
      </c>
      <c r="E110" s="551">
        <f t="shared" si="7"/>
        <v>128.63203199999998</v>
      </c>
      <c r="F110" s="426">
        <f t="shared" si="9"/>
        <v>151.78579775999998</v>
      </c>
      <c r="G110" s="400">
        <f t="shared" si="12"/>
        <v>170.11586231999993</v>
      </c>
      <c r="H110" s="394">
        <f t="shared" si="13"/>
        <v>200.7367175375999</v>
      </c>
      <c r="I110" s="74" t="s">
        <v>1618</v>
      </c>
      <c r="J110" s="425" t="s">
        <v>1619</v>
      </c>
      <c r="K110" s="551">
        <f t="shared" si="8"/>
        <v>128.63203199999998</v>
      </c>
      <c r="L110" s="552">
        <f t="shared" si="10"/>
        <v>151.78579775999998</v>
      </c>
      <c r="M110" s="394">
        <f>191.13*1.1*3*1.1</f>
        <v>693.8019</v>
      </c>
      <c r="N110" s="553">
        <f t="shared" si="11"/>
        <v>818.686242</v>
      </c>
    </row>
    <row r="111" spans="1:14" s="364" customFormat="1" ht="12.75">
      <c r="A111" s="188"/>
      <c r="B111" s="126" t="s">
        <v>760</v>
      </c>
      <c r="C111" s="8" t="s">
        <v>2508</v>
      </c>
      <c r="D111" s="425" t="s">
        <v>2509</v>
      </c>
      <c r="E111" s="551">
        <f t="shared" si="7"/>
        <v>214.38672</v>
      </c>
      <c r="F111" s="426">
        <f t="shared" si="9"/>
        <v>252.97632959999999</v>
      </c>
      <c r="G111" s="400">
        <f t="shared" si="12"/>
        <v>283.5264371999999</v>
      </c>
      <c r="H111" s="394">
        <f t="shared" si="13"/>
        <v>334.5611958959999</v>
      </c>
      <c r="I111" s="74" t="s">
        <v>2508</v>
      </c>
      <c r="J111" s="425" t="s">
        <v>2509</v>
      </c>
      <c r="K111" s="551">
        <f t="shared" si="8"/>
        <v>214.38672</v>
      </c>
      <c r="L111" s="552">
        <f t="shared" si="10"/>
        <v>252.97632959999999</v>
      </c>
      <c r="M111" s="394">
        <f>318.54*1.1*3*1.1</f>
        <v>1156.3002000000004</v>
      </c>
      <c r="N111" s="553">
        <f t="shared" si="11"/>
        <v>1364.4342360000003</v>
      </c>
    </row>
    <row r="112" spans="1:14" s="433" customFormat="1" ht="12.75">
      <c r="A112" s="434" t="s">
        <v>264</v>
      </c>
      <c r="B112" s="123" t="s">
        <v>714</v>
      </c>
      <c r="C112" s="14" t="s">
        <v>1382</v>
      </c>
      <c r="D112" s="405" t="s">
        <v>713</v>
      </c>
      <c r="E112" s="554">
        <f t="shared" si="7"/>
        <v>364.457424</v>
      </c>
      <c r="F112" s="426">
        <f t="shared" si="9"/>
        <v>430.05976032</v>
      </c>
      <c r="G112" s="555">
        <f t="shared" si="12"/>
        <v>481.99494323999994</v>
      </c>
      <c r="H112" s="363">
        <f t="shared" si="13"/>
        <v>568.7540330231999</v>
      </c>
      <c r="I112" s="207" t="s">
        <v>1382</v>
      </c>
      <c r="J112" s="405" t="s">
        <v>713</v>
      </c>
      <c r="K112" s="554">
        <f t="shared" si="8"/>
        <v>364.457424</v>
      </c>
      <c r="L112" s="552">
        <f t="shared" si="10"/>
        <v>430.05976032</v>
      </c>
      <c r="M112" s="34">
        <f>M113+M114+M115</f>
        <v>1965.7176000000004</v>
      </c>
      <c r="N112" s="366">
        <f t="shared" si="11"/>
        <v>2319.546768</v>
      </c>
    </row>
    <row r="113" spans="1:14" s="364" customFormat="1" ht="12.75">
      <c r="A113" s="188"/>
      <c r="B113" s="556" t="s">
        <v>756</v>
      </c>
      <c r="C113" s="8" t="s">
        <v>2381</v>
      </c>
      <c r="D113" s="425" t="s">
        <v>2382</v>
      </c>
      <c r="E113" s="551">
        <f t="shared" si="7"/>
        <v>21.438672</v>
      </c>
      <c r="F113" s="426">
        <f t="shared" si="9"/>
        <v>25.297632959999998</v>
      </c>
      <c r="G113" s="400">
        <f t="shared" si="12"/>
        <v>28.352643719999996</v>
      </c>
      <c r="H113" s="394">
        <f t="shared" si="13"/>
        <v>33.45611958959999</v>
      </c>
      <c r="I113" s="74" t="s">
        <v>2381</v>
      </c>
      <c r="J113" s="425" t="s">
        <v>2382</v>
      </c>
      <c r="K113" s="551">
        <f t="shared" si="8"/>
        <v>21.438672</v>
      </c>
      <c r="L113" s="552">
        <f t="shared" si="10"/>
        <v>25.297632959999998</v>
      </c>
      <c r="M113" s="394">
        <f>31.85*1.1*3*1.1</f>
        <v>115.61550000000003</v>
      </c>
      <c r="N113" s="553">
        <f t="shared" si="11"/>
        <v>136.42629000000002</v>
      </c>
    </row>
    <row r="114" spans="1:14" s="364" customFormat="1" ht="12.75">
      <c r="A114" s="188"/>
      <c r="B114" s="556" t="s">
        <v>754</v>
      </c>
      <c r="C114" s="8" t="s">
        <v>1618</v>
      </c>
      <c r="D114" s="425" t="s">
        <v>1619</v>
      </c>
      <c r="E114" s="551">
        <f t="shared" si="7"/>
        <v>128.63203199999998</v>
      </c>
      <c r="F114" s="426">
        <f t="shared" si="9"/>
        <v>151.78579775999998</v>
      </c>
      <c r="G114" s="400">
        <f t="shared" si="12"/>
        <v>170.11586231999993</v>
      </c>
      <c r="H114" s="394">
        <f t="shared" si="13"/>
        <v>200.7367175375999</v>
      </c>
      <c r="I114" s="74" t="s">
        <v>1618</v>
      </c>
      <c r="J114" s="425" t="s">
        <v>1619</v>
      </c>
      <c r="K114" s="551">
        <f t="shared" si="8"/>
        <v>128.63203199999998</v>
      </c>
      <c r="L114" s="552">
        <f t="shared" si="10"/>
        <v>151.78579775999998</v>
      </c>
      <c r="M114" s="394">
        <f>191.13*1.1*3*1.1</f>
        <v>693.8019</v>
      </c>
      <c r="N114" s="553">
        <f t="shared" si="11"/>
        <v>818.686242</v>
      </c>
    </row>
    <row r="115" spans="1:14" s="364" customFormat="1" ht="12.75">
      <c r="A115" s="188"/>
      <c r="B115" s="126" t="s">
        <v>760</v>
      </c>
      <c r="C115" s="8" t="s">
        <v>2508</v>
      </c>
      <c r="D115" s="425" t="s">
        <v>2509</v>
      </c>
      <c r="E115" s="551">
        <f t="shared" si="7"/>
        <v>214.38672</v>
      </c>
      <c r="F115" s="426">
        <f t="shared" si="9"/>
        <v>252.97632959999999</v>
      </c>
      <c r="G115" s="400">
        <f t="shared" si="12"/>
        <v>283.5264371999999</v>
      </c>
      <c r="H115" s="394">
        <f t="shared" si="13"/>
        <v>334.5611958959999</v>
      </c>
      <c r="I115" s="74" t="s">
        <v>2508</v>
      </c>
      <c r="J115" s="425" t="s">
        <v>2509</v>
      </c>
      <c r="K115" s="551">
        <f t="shared" si="8"/>
        <v>214.38672</v>
      </c>
      <c r="L115" s="552">
        <f t="shared" si="10"/>
        <v>252.97632959999999</v>
      </c>
      <c r="M115" s="394">
        <f>318.54*1.1*3*1.1</f>
        <v>1156.3002000000004</v>
      </c>
      <c r="N115" s="553">
        <f t="shared" si="11"/>
        <v>1364.4342360000003</v>
      </c>
    </row>
    <row r="116" spans="1:14" s="433" customFormat="1" ht="12.75">
      <c r="A116" s="434" t="s">
        <v>265</v>
      </c>
      <c r="B116" s="123" t="s">
        <v>715</v>
      </c>
      <c r="C116" s="14" t="s">
        <v>1382</v>
      </c>
      <c r="D116" s="405" t="s">
        <v>713</v>
      </c>
      <c r="E116" s="554">
        <f t="shared" si="7"/>
        <v>364.457424</v>
      </c>
      <c r="F116" s="426">
        <f t="shared" si="9"/>
        <v>430.05976032</v>
      </c>
      <c r="G116" s="555">
        <f t="shared" si="12"/>
        <v>481.99494323999994</v>
      </c>
      <c r="H116" s="363">
        <f t="shared" si="13"/>
        <v>568.7540330231999</v>
      </c>
      <c r="I116" s="207" t="s">
        <v>1382</v>
      </c>
      <c r="J116" s="405" t="s">
        <v>713</v>
      </c>
      <c r="K116" s="554">
        <f t="shared" si="8"/>
        <v>364.457424</v>
      </c>
      <c r="L116" s="552">
        <f t="shared" si="10"/>
        <v>430.05976032</v>
      </c>
      <c r="M116" s="34">
        <f>M117+M118+M119</f>
        <v>1965.7176000000004</v>
      </c>
      <c r="N116" s="366">
        <f t="shared" si="11"/>
        <v>2319.546768</v>
      </c>
    </row>
    <row r="117" spans="1:14" s="364" customFormat="1" ht="12.75">
      <c r="A117" s="188"/>
      <c r="B117" s="556" t="s">
        <v>756</v>
      </c>
      <c r="C117" s="8" t="s">
        <v>2381</v>
      </c>
      <c r="D117" s="425" t="s">
        <v>2382</v>
      </c>
      <c r="E117" s="551">
        <f t="shared" si="7"/>
        <v>21.438672</v>
      </c>
      <c r="F117" s="426">
        <f t="shared" si="9"/>
        <v>25.297632959999998</v>
      </c>
      <c r="G117" s="400">
        <f t="shared" si="12"/>
        <v>28.352643719999996</v>
      </c>
      <c r="H117" s="394">
        <f t="shared" si="13"/>
        <v>33.45611958959999</v>
      </c>
      <c r="I117" s="74" t="s">
        <v>2381</v>
      </c>
      <c r="J117" s="425" t="s">
        <v>2382</v>
      </c>
      <c r="K117" s="551">
        <f t="shared" si="8"/>
        <v>21.438672</v>
      </c>
      <c r="L117" s="552">
        <f t="shared" si="10"/>
        <v>25.297632959999998</v>
      </c>
      <c r="M117" s="394">
        <f>31.85*1.1*3*1.1</f>
        <v>115.61550000000003</v>
      </c>
      <c r="N117" s="553">
        <f t="shared" si="11"/>
        <v>136.42629000000002</v>
      </c>
    </row>
    <row r="118" spans="1:14" s="364" customFormat="1" ht="12.75">
      <c r="A118" s="188"/>
      <c r="B118" s="556" t="s">
        <v>754</v>
      </c>
      <c r="C118" s="8" t="s">
        <v>1618</v>
      </c>
      <c r="D118" s="425" t="s">
        <v>1619</v>
      </c>
      <c r="E118" s="551">
        <f t="shared" si="7"/>
        <v>128.63203199999998</v>
      </c>
      <c r="F118" s="426">
        <f t="shared" si="9"/>
        <v>151.78579775999998</v>
      </c>
      <c r="G118" s="400">
        <f t="shared" si="12"/>
        <v>170.11586231999993</v>
      </c>
      <c r="H118" s="394">
        <f t="shared" si="13"/>
        <v>200.7367175375999</v>
      </c>
      <c r="I118" s="74" t="s">
        <v>1618</v>
      </c>
      <c r="J118" s="425" t="s">
        <v>1619</v>
      </c>
      <c r="K118" s="551">
        <f t="shared" si="8"/>
        <v>128.63203199999998</v>
      </c>
      <c r="L118" s="552">
        <f t="shared" si="10"/>
        <v>151.78579775999998</v>
      </c>
      <c r="M118" s="394">
        <f>191.13*1.1*3*1.1</f>
        <v>693.8019</v>
      </c>
      <c r="N118" s="553">
        <f t="shared" si="11"/>
        <v>818.686242</v>
      </c>
    </row>
    <row r="119" spans="1:14" s="364" customFormat="1" ht="12.75">
      <c r="A119" s="188"/>
      <c r="B119" s="126" t="s">
        <v>760</v>
      </c>
      <c r="C119" s="8" t="s">
        <v>2508</v>
      </c>
      <c r="D119" s="425" t="s">
        <v>2509</v>
      </c>
      <c r="E119" s="551">
        <f aca="true" t="shared" si="14" ref="E119:E183">C119*97.36*1.101</f>
        <v>214.38672</v>
      </c>
      <c r="F119" s="426">
        <f t="shared" si="9"/>
        <v>252.97632959999999</v>
      </c>
      <c r="G119" s="400">
        <f t="shared" si="12"/>
        <v>283.5264371999999</v>
      </c>
      <c r="H119" s="394">
        <f t="shared" si="13"/>
        <v>334.5611958959999</v>
      </c>
      <c r="I119" s="74" t="s">
        <v>2508</v>
      </c>
      <c r="J119" s="425" t="s">
        <v>2509</v>
      </c>
      <c r="K119" s="551">
        <f aca="true" t="shared" si="15" ref="K119:K182">I119*97.36*1.101</f>
        <v>214.38672</v>
      </c>
      <c r="L119" s="552">
        <f t="shared" si="10"/>
        <v>252.97632959999999</v>
      </c>
      <c r="M119" s="394">
        <f>318.54*1.1*3*1.1</f>
        <v>1156.3002000000004</v>
      </c>
      <c r="N119" s="553">
        <f t="shared" si="11"/>
        <v>1364.4342360000003</v>
      </c>
    </row>
    <row r="120" spans="1:14" s="433" customFormat="1" ht="12.75">
      <c r="A120" s="434" t="s">
        <v>266</v>
      </c>
      <c r="B120" s="123" t="s">
        <v>716</v>
      </c>
      <c r="C120" s="14" t="s">
        <v>717</v>
      </c>
      <c r="D120" s="405" t="s">
        <v>718</v>
      </c>
      <c r="E120" s="554">
        <f t="shared" si="14"/>
        <v>316.220412</v>
      </c>
      <c r="F120" s="426">
        <f t="shared" si="9"/>
        <v>373.14008616</v>
      </c>
      <c r="G120" s="555">
        <f t="shared" si="12"/>
        <v>418.2014948699999</v>
      </c>
      <c r="H120" s="363">
        <f t="shared" si="13"/>
        <v>493.4777639465999</v>
      </c>
      <c r="I120" s="207" t="s">
        <v>717</v>
      </c>
      <c r="J120" s="405" t="s">
        <v>718</v>
      </c>
      <c r="K120" s="554">
        <f t="shared" si="15"/>
        <v>316.220412</v>
      </c>
      <c r="L120" s="552">
        <f t="shared" si="10"/>
        <v>373.14008616</v>
      </c>
      <c r="M120" s="34">
        <f>M121+M122+M123</f>
        <v>1705.5555000000002</v>
      </c>
      <c r="N120" s="366">
        <f t="shared" si="11"/>
        <v>2012.5554900000002</v>
      </c>
    </row>
    <row r="121" spans="1:14" s="364" customFormat="1" ht="12.75">
      <c r="A121" s="188"/>
      <c r="B121" s="556" t="s">
        <v>756</v>
      </c>
      <c r="C121" s="8" t="s">
        <v>2381</v>
      </c>
      <c r="D121" s="425" t="s">
        <v>2382</v>
      </c>
      <c r="E121" s="551">
        <f t="shared" si="14"/>
        <v>21.438672</v>
      </c>
      <c r="F121" s="426">
        <f t="shared" si="9"/>
        <v>25.297632959999998</v>
      </c>
      <c r="G121" s="400">
        <f t="shared" si="12"/>
        <v>28.352643719999996</v>
      </c>
      <c r="H121" s="394">
        <f t="shared" si="13"/>
        <v>33.45611958959999</v>
      </c>
      <c r="I121" s="74" t="s">
        <v>2381</v>
      </c>
      <c r="J121" s="425" t="s">
        <v>2382</v>
      </c>
      <c r="K121" s="551">
        <f t="shared" si="15"/>
        <v>21.438672</v>
      </c>
      <c r="L121" s="552">
        <f t="shared" si="10"/>
        <v>25.297632959999998</v>
      </c>
      <c r="M121" s="394">
        <f>31.85*1.1*3*1.1</f>
        <v>115.61550000000003</v>
      </c>
      <c r="N121" s="553">
        <f t="shared" si="11"/>
        <v>136.42629000000002</v>
      </c>
    </row>
    <row r="122" spans="1:14" s="364" customFormat="1" ht="12.75">
      <c r="A122" s="188"/>
      <c r="B122" s="126" t="s">
        <v>754</v>
      </c>
      <c r="C122" s="8">
        <v>1.2</v>
      </c>
      <c r="D122" s="425">
        <v>119.34</v>
      </c>
      <c r="E122" s="551">
        <f t="shared" si="14"/>
        <v>128.63203199999998</v>
      </c>
      <c r="F122" s="426">
        <f t="shared" si="9"/>
        <v>151.78579775999998</v>
      </c>
      <c r="G122" s="400">
        <f t="shared" si="12"/>
        <v>170.11586231999993</v>
      </c>
      <c r="H122" s="394">
        <f t="shared" si="13"/>
        <v>200.7367175375999</v>
      </c>
      <c r="I122" s="74">
        <v>1.2</v>
      </c>
      <c r="J122" s="425">
        <v>119.34</v>
      </c>
      <c r="K122" s="551">
        <f t="shared" si="15"/>
        <v>128.63203199999998</v>
      </c>
      <c r="L122" s="552">
        <f t="shared" si="10"/>
        <v>151.78579775999998</v>
      </c>
      <c r="M122" s="394">
        <f>191.13*1.1*3*1.1</f>
        <v>693.8019</v>
      </c>
      <c r="N122" s="553">
        <f t="shared" si="11"/>
        <v>818.686242</v>
      </c>
    </row>
    <row r="123" spans="1:14" s="364" customFormat="1" ht="12.75">
      <c r="A123" s="188"/>
      <c r="B123" s="126" t="s">
        <v>719</v>
      </c>
      <c r="C123" s="8">
        <v>1.55</v>
      </c>
      <c r="D123" s="425">
        <v>154.15</v>
      </c>
      <c r="E123" s="551">
        <f t="shared" si="14"/>
        <v>166.149708</v>
      </c>
      <c r="F123" s="426">
        <f t="shared" si="9"/>
        <v>196.05665544</v>
      </c>
      <c r="G123" s="400">
        <f t="shared" si="12"/>
        <v>219.73298882999998</v>
      </c>
      <c r="H123" s="394">
        <f t="shared" si="13"/>
        <v>259.28492681939997</v>
      </c>
      <c r="I123" s="74">
        <v>1.55</v>
      </c>
      <c r="J123" s="425">
        <v>154.15</v>
      </c>
      <c r="K123" s="551">
        <f t="shared" si="15"/>
        <v>166.149708</v>
      </c>
      <c r="L123" s="552">
        <f t="shared" si="10"/>
        <v>196.05665544</v>
      </c>
      <c r="M123" s="394">
        <f>246.87*1.1*3*1.1</f>
        <v>896.1381000000001</v>
      </c>
      <c r="N123" s="553">
        <f t="shared" si="11"/>
        <v>1057.442958</v>
      </c>
    </row>
    <row r="124" spans="1:14" s="433" customFormat="1" ht="12.75">
      <c r="A124" s="432" t="s">
        <v>267</v>
      </c>
      <c r="B124" s="123" t="s">
        <v>720</v>
      </c>
      <c r="C124" s="14">
        <v>3.46</v>
      </c>
      <c r="D124" s="405">
        <v>344.1</v>
      </c>
      <c r="E124" s="554">
        <f t="shared" si="14"/>
        <v>370.88902559999997</v>
      </c>
      <c r="F124" s="426">
        <f t="shared" si="9"/>
        <v>437.64905020799995</v>
      </c>
      <c r="G124" s="555">
        <f t="shared" si="12"/>
        <v>490.5007363559999</v>
      </c>
      <c r="H124" s="363">
        <f t="shared" si="13"/>
        <v>578.7908689000799</v>
      </c>
      <c r="I124" s="207">
        <v>3.46</v>
      </c>
      <c r="J124" s="405">
        <v>344.1</v>
      </c>
      <c r="K124" s="554">
        <f t="shared" si="15"/>
        <v>370.88902559999997</v>
      </c>
      <c r="L124" s="552">
        <f t="shared" si="10"/>
        <v>437.64905020799995</v>
      </c>
      <c r="M124" s="34">
        <f>M125+M126+M127</f>
        <v>2058.21</v>
      </c>
      <c r="N124" s="366">
        <f t="shared" si="11"/>
        <v>2428.6877999999997</v>
      </c>
    </row>
    <row r="125" spans="1:14" s="364" customFormat="1" ht="12.75">
      <c r="A125" s="557"/>
      <c r="B125" s="126" t="s">
        <v>750</v>
      </c>
      <c r="C125" s="8">
        <v>0.3</v>
      </c>
      <c r="D125" s="425">
        <v>29.84</v>
      </c>
      <c r="E125" s="551">
        <f t="shared" si="14"/>
        <v>32.158007999999995</v>
      </c>
      <c r="F125" s="426">
        <f t="shared" si="9"/>
        <v>37.946449439999995</v>
      </c>
      <c r="G125" s="400">
        <f t="shared" si="12"/>
        <v>42.52896557999998</v>
      </c>
      <c r="H125" s="394">
        <f t="shared" si="13"/>
        <v>50.184179384399975</v>
      </c>
      <c r="I125" s="74">
        <v>0.3</v>
      </c>
      <c r="J125" s="425">
        <v>29.84</v>
      </c>
      <c r="K125" s="551">
        <f t="shared" si="15"/>
        <v>32.158007999999995</v>
      </c>
      <c r="L125" s="552">
        <f t="shared" si="10"/>
        <v>37.946449439999995</v>
      </c>
      <c r="M125" s="394">
        <f>47.78*1.1*3*1.1</f>
        <v>173.44140000000004</v>
      </c>
      <c r="N125" s="553">
        <f t="shared" si="11"/>
        <v>204.66085200000003</v>
      </c>
    </row>
    <row r="126" spans="1:14" s="364" customFormat="1" ht="12.75">
      <c r="A126" s="557"/>
      <c r="B126" s="126" t="s">
        <v>754</v>
      </c>
      <c r="C126" s="8">
        <v>0.7</v>
      </c>
      <c r="D126" s="425">
        <v>69.62</v>
      </c>
      <c r="E126" s="551">
        <f t="shared" si="14"/>
        <v>75.035352</v>
      </c>
      <c r="F126" s="426">
        <f t="shared" si="9"/>
        <v>88.54171536</v>
      </c>
      <c r="G126" s="400">
        <f t="shared" si="12"/>
        <v>99.23425302</v>
      </c>
      <c r="H126" s="394">
        <f t="shared" si="13"/>
        <v>117.0964185636</v>
      </c>
      <c r="I126" s="74">
        <v>0.7</v>
      </c>
      <c r="J126" s="425">
        <v>69.62</v>
      </c>
      <c r="K126" s="551">
        <f t="shared" si="15"/>
        <v>75.035352</v>
      </c>
      <c r="L126" s="552">
        <f t="shared" si="10"/>
        <v>88.54171536</v>
      </c>
      <c r="M126" s="394">
        <f>111.49*1.1*3*1.1</f>
        <v>404.7087000000001</v>
      </c>
      <c r="N126" s="553">
        <f t="shared" si="11"/>
        <v>477.55626600000005</v>
      </c>
    </row>
    <row r="127" spans="1:14" s="364" customFormat="1" ht="12.75">
      <c r="A127" s="557"/>
      <c r="B127" s="558" t="s">
        <v>719</v>
      </c>
      <c r="C127" s="20">
        <v>2.56</v>
      </c>
      <c r="D127" s="425">
        <v>254.59</v>
      </c>
      <c r="E127" s="551">
        <f t="shared" si="14"/>
        <v>274.4150016</v>
      </c>
      <c r="F127" s="426">
        <f t="shared" si="9"/>
        <v>323.80970188799995</v>
      </c>
      <c r="G127" s="400">
        <f t="shared" si="12"/>
        <v>362.91383961599996</v>
      </c>
      <c r="H127" s="394">
        <f t="shared" si="13"/>
        <v>428.2383307468799</v>
      </c>
      <c r="I127" s="204">
        <v>2.56</v>
      </c>
      <c r="J127" s="425">
        <v>254.59</v>
      </c>
      <c r="K127" s="551">
        <f t="shared" si="15"/>
        <v>274.4150016</v>
      </c>
      <c r="L127" s="552">
        <f t="shared" si="10"/>
        <v>323.80970188799995</v>
      </c>
      <c r="M127" s="394">
        <f>407.73*1.1*3*1.1</f>
        <v>1480.0599000000002</v>
      </c>
      <c r="N127" s="553">
        <f t="shared" si="11"/>
        <v>1746.4706820000001</v>
      </c>
    </row>
    <row r="128" spans="1:14" s="433" customFormat="1" ht="12.75">
      <c r="A128" s="432" t="s">
        <v>268</v>
      </c>
      <c r="B128" s="123" t="s">
        <v>721</v>
      </c>
      <c r="C128" s="14">
        <v>2.8</v>
      </c>
      <c r="D128" s="405">
        <v>278.46</v>
      </c>
      <c r="E128" s="554">
        <f t="shared" si="14"/>
        <v>300.141408</v>
      </c>
      <c r="F128" s="426">
        <f t="shared" si="9"/>
        <v>354.16686144</v>
      </c>
      <c r="G128" s="555">
        <f t="shared" si="12"/>
        <v>396.93701208</v>
      </c>
      <c r="H128" s="363">
        <f t="shared" si="13"/>
        <v>468.3856742544</v>
      </c>
      <c r="I128" s="207">
        <v>2.8</v>
      </c>
      <c r="J128" s="405">
        <v>278.46</v>
      </c>
      <c r="K128" s="554">
        <f t="shared" si="15"/>
        <v>300.141408</v>
      </c>
      <c r="L128" s="552">
        <f t="shared" si="10"/>
        <v>354.16686144</v>
      </c>
      <c r="M128" s="34">
        <f>M129+M130+M131</f>
        <v>1618.7985000000003</v>
      </c>
      <c r="N128" s="366">
        <f t="shared" si="11"/>
        <v>1910.1822300000003</v>
      </c>
    </row>
    <row r="129" spans="1:14" s="364" customFormat="1" ht="12.75">
      <c r="A129" s="557"/>
      <c r="B129" s="126" t="s">
        <v>750</v>
      </c>
      <c r="C129" s="8">
        <v>0.2</v>
      </c>
      <c r="D129" s="425">
        <v>19.89</v>
      </c>
      <c r="E129" s="551">
        <f t="shared" si="14"/>
        <v>21.438672</v>
      </c>
      <c r="F129" s="426">
        <f t="shared" si="9"/>
        <v>25.297632959999998</v>
      </c>
      <c r="G129" s="400">
        <f t="shared" si="12"/>
        <v>28.352643719999996</v>
      </c>
      <c r="H129" s="394">
        <f t="shared" si="13"/>
        <v>33.45611958959999</v>
      </c>
      <c r="I129" s="74">
        <v>0.2</v>
      </c>
      <c r="J129" s="425">
        <v>19.89</v>
      </c>
      <c r="K129" s="551">
        <f t="shared" si="15"/>
        <v>21.438672</v>
      </c>
      <c r="L129" s="552">
        <f t="shared" si="10"/>
        <v>25.297632959999998</v>
      </c>
      <c r="M129" s="394">
        <f>31.85*1.1*3*1.1</f>
        <v>115.61550000000003</v>
      </c>
      <c r="N129" s="553">
        <f t="shared" si="11"/>
        <v>136.42629000000002</v>
      </c>
    </row>
    <row r="130" spans="1:14" s="364" customFormat="1" ht="12.75">
      <c r="A130" s="557"/>
      <c r="B130" s="126" t="s">
        <v>754</v>
      </c>
      <c r="C130" s="8">
        <v>1</v>
      </c>
      <c r="D130" s="425">
        <v>99.45</v>
      </c>
      <c r="E130" s="551">
        <f t="shared" si="14"/>
        <v>107.19336</v>
      </c>
      <c r="F130" s="426">
        <f t="shared" si="9"/>
        <v>126.48816479999999</v>
      </c>
      <c r="G130" s="400">
        <f t="shared" si="12"/>
        <v>141.76321859999996</v>
      </c>
      <c r="H130" s="394">
        <f t="shared" si="13"/>
        <v>167.28059794799995</v>
      </c>
      <c r="I130" s="74">
        <v>1</v>
      </c>
      <c r="J130" s="425">
        <v>99.45</v>
      </c>
      <c r="K130" s="551">
        <f t="shared" si="15"/>
        <v>107.19336</v>
      </c>
      <c r="L130" s="552">
        <f t="shared" si="10"/>
        <v>126.48816479999999</v>
      </c>
      <c r="M130" s="394">
        <f>159.27*1.1*3*1.1</f>
        <v>578.1501000000002</v>
      </c>
      <c r="N130" s="553">
        <f t="shared" si="11"/>
        <v>682.2171180000001</v>
      </c>
    </row>
    <row r="131" spans="1:14" s="364" customFormat="1" ht="12.75">
      <c r="A131" s="557"/>
      <c r="B131" s="126" t="s">
        <v>719</v>
      </c>
      <c r="C131" s="8">
        <v>1.6</v>
      </c>
      <c r="D131" s="425">
        <v>159.12</v>
      </c>
      <c r="E131" s="551">
        <f t="shared" si="14"/>
        <v>171.509376</v>
      </c>
      <c r="F131" s="426">
        <f t="shared" si="9"/>
        <v>202.38106367999998</v>
      </c>
      <c r="G131" s="400">
        <f t="shared" si="12"/>
        <v>226.82114975999997</v>
      </c>
      <c r="H131" s="394">
        <f t="shared" si="13"/>
        <v>267.64895671679994</v>
      </c>
      <c r="I131" s="74">
        <v>1.6</v>
      </c>
      <c r="J131" s="425">
        <v>159.12</v>
      </c>
      <c r="K131" s="551">
        <f t="shared" si="15"/>
        <v>171.509376</v>
      </c>
      <c r="L131" s="552">
        <f t="shared" si="10"/>
        <v>202.38106367999998</v>
      </c>
      <c r="M131" s="394">
        <f>254.83*1.1*3*1.1</f>
        <v>925.0329000000002</v>
      </c>
      <c r="N131" s="553">
        <f t="shared" si="11"/>
        <v>1091.5388220000002</v>
      </c>
    </row>
    <row r="132" spans="1:14" s="433" customFormat="1" ht="12.75">
      <c r="A132" s="432" t="s">
        <v>269</v>
      </c>
      <c r="B132" s="123" t="s">
        <v>2295</v>
      </c>
      <c r="C132" s="14">
        <v>4.6</v>
      </c>
      <c r="D132" s="405">
        <v>457.47</v>
      </c>
      <c r="E132" s="554">
        <f t="shared" si="14"/>
        <v>493.0894559999999</v>
      </c>
      <c r="F132" s="426">
        <f t="shared" si="9"/>
        <v>581.8455580799999</v>
      </c>
      <c r="G132" s="555">
        <f t="shared" si="12"/>
        <v>652.1108055599998</v>
      </c>
      <c r="H132" s="363">
        <f t="shared" si="13"/>
        <v>769.4907505607997</v>
      </c>
      <c r="I132" s="207">
        <v>4.6</v>
      </c>
      <c r="J132" s="405">
        <v>457.47</v>
      </c>
      <c r="K132" s="554">
        <f t="shared" si="15"/>
        <v>493.0894559999999</v>
      </c>
      <c r="L132" s="552">
        <f t="shared" si="10"/>
        <v>581.8455580799999</v>
      </c>
      <c r="M132" s="34">
        <f>M133+M134+M135</f>
        <v>2659.5195000000003</v>
      </c>
      <c r="N132" s="366">
        <f t="shared" si="11"/>
        <v>3138.2330100000004</v>
      </c>
    </row>
    <row r="133" spans="1:14" s="364" customFormat="1" ht="12.75">
      <c r="A133" s="181"/>
      <c r="B133" s="126" t="s">
        <v>750</v>
      </c>
      <c r="C133" s="8">
        <v>0.3</v>
      </c>
      <c r="D133" s="405">
        <v>29.84</v>
      </c>
      <c r="E133" s="551">
        <f t="shared" si="14"/>
        <v>32.158007999999995</v>
      </c>
      <c r="F133" s="426">
        <f t="shared" si="9"/>
        <v>37.946449439999995</v>
      </c>
      <c r="G133" s="400">
        <f t="shared" si="12"/>
        <v>42.52896557999998</v>
      </c>
      <c r="H133" s="394">
        <f t="shared" si="13"/>
        <v>50.184179384399975</v>
      </c>
      <c r="I133" s="74">
        <v>0.3</v>
      </c>
      <c r="J133" s="405">
        <v>29.84</v>
      </c>
      <c r="K133" s="551">
        <f t="shared" si="15"/>
        <v>32.158007999999995</v>
      </c>
      <c r="L133" s="552">
        <f t="shared" si="10"/>
        <v>37.946449439999995</v>
      </c>
      <c r="M133" s="394">
        <f>47.78*1.1*3*1.1</f>
        <v>173.44140000000004</v>
      </c>
      <c r="N133" s="553">
        <f t="shared" si="11"/>
        <v>204.66085200000003</v>
      </c>
    </row>
    <row r="134" spans="1:14" s="364" customFormat="1" ht="12.75">
      <c r="A134" s="181"/>
      <c r="B134" s="126" t="s">
        <v>754</v>
      </c>
      <c r="C134" s="8">
        <v>0.8</v>
      </c>
      <c r="D134" s="405">
        <v>79.56</v>
      </c>
      <c r="E134" s="551">
        <f t="shared" si="14"/>
        <v>85.754688</v>
      </c>
      <c r="F134" s="426">
        <f t="shared" si="9"/>
        <v>101.19053183999999</v>
      </c>
      <c r="G134" s="400">
        <f t="shared" si="12"/>
        <v>113.41057487999998</v>
      </c>
      <c r="H134" s="394">
        <f t="shared" si="13"/>
        <v>133.82447835839997</v>
      </c>
      <c r="I134" s="74">
        <v>0.8</v>
      </c>
      <c r="J134" s="405">
        <v>79.56</v>
      </c>
      <c r="K134" s="551">
        <f t="shared" si="15"/>
        <v>85.754688</v>
      </c>
      <c r="L134" s="552">
        <f t="shared" si="10"/>
        <v>101.19053183999999</v>
      </c>
      <c r="M134" s="394">
        <f>127.42*1.1*3*1.1</f>
        <v>462.5346</v>
      </c>
      <c r="N134" s="553">
        <f t="shared" si="11"/>
        <v>545.790828</v>
      </c>
    </row>
    <row r="135" spans="1:14" s="364" customFormat="1" ht="12.75">
      <c r="A135" s="181"/>
      <c r="B135" s="558" t="s">
        <v>719</v>
      </c>
      <c r="C135" s="8">
        <v>3.5</v>
      </c>
      <c r="D135" s="405">
        <v>348.08</v>
      </c>
      <c r="E135" s="551">
        <f t="shared" si="14"/>
        <v>375.17676</v>
      </c>
      <c r="F135" s="426">
        <f t="shared" si="9"/>
        <v>442.7085768</v>
      </c>
      <c r="G135" s="400">
        <f t="shared" si="12"/>
        <v>496.1712650999999</v>
      </c>
      <c r="H135" s="394">
        <f t="shared" si="13"/>
        <v>585.4820928179998</v>
      </c>
      <c r="I135" s="74">
        <v>3.5</v>
      </c>
      <c r="J135" s="405">
        <v>348.08</v>
      </c>
      <c r="K135" s="551">
        <f t="shared" si="15"/>
        <v>375.17676</v>
      </c>
      <c r="L135" s="552">
        <f t="shared" si="10"/>
        <v>442.7085768</v>
      </c>
      <c r="M135" s="394">
        <f>557.45*1.1*3*1.1</f>
        <v>2023.5435000000002</v>
      </c>
      <c r="N135" s="553">
        <f t="shared" si="11"/>
        <v>2387.7813300000003</v>
      </c>
    </row>
    <row r="136" spans="1:14" s="433" customFormat="1" ht="12.75">
      <c r="A136" s="432" t="s">
        <v>270</v>
      </c>
      <c r="B136" s="123" t="s">
        <v>795</v>
      </c>
      <c r="C136" s="14">
        <v>3.35</v>
      </c>
      <c r="D136" s="405">
        <v>244.55</v>
      </c>
      <c r="E136" s="554">
        <f t="shared" si="14"/>
        <v>359.097756</v>
      </c>
      <c r="F136" s="426">
        <f t="shared" si="9"/>
        <v>423.73535208</v>
      </c>
      <c r="G136" s="555">
        <f t="shared" si="12"/>
        <v>474.9067823099999</v>
      </c>
      <c r="H136" s="363">
        <f t="shared" si="13"/>
        <v>560.3900031257999</v>
      </c>
      <c r="I136" s="207">
        <v>3.35</v>
      </c>
      <c r="J136" s="405">
        <v>244.55</v>
      </c>
      <c r="K136" s="554">
        <f t="shared" si="15"/>
        <v>359.097756</v>
      </c>
      <c r="L136" s="552">
        <f t="shared" si="10"/>
        <v>423.73535208</v>
      </c>
      <c r="M136" s="34">
        <f>M137+M138+M139</f>
        <v>1936.8228000000004</v>
      </c>
      <c r="N136" s="366">
        <f t="shared" si="11"/>
        <v>2285.4509040000003</v>
      </c>
    </row>
    <row r="137" spans="1:14" s="364" customFormat="1" ht="12.75">
      <c r="A137" s="181"/>
      <c r="B137" s="126" t="s">
        <v>750</v>
      </c>
      <c r="C137" s="8">
        <v>0.35</v>
      </c>
      <c r="D137" s="405">
        <v>25.55</v>
      </c>
      <c r="E137" s="551">
        <f t="shared" si="14"/>
        <v>37.517676</v>
      </c>
      <c r="F137" s="426">
        <f t="shared" si="9"/>
        <v>44.27085768</v>
      </c>
      <c r="G137" s="400">
        <f t="shared" si="12"/>
        <v>49.61712651</v>
      </c>
      <c r="H137" s="394">
        <f t="shared" si="13"/>
        <v>58.5482092818</v>
      </c>
      <c r="I137" s="74">
        <v>0.35</v>
      </c>
      <c r="J137" s="405">
        <v>25.55</v>
      </c>
      <c r="K137" s="551">
        <f t="shared" si="15"/>
        <v>37.517676</v>
      </c>
      <c r="L137" s="552">
        <f t="shared" si="10"/>
        <v>44.27085768</v>
      </c>
      <c r="M137" s="394">
        <f>55.74*1.1*3*1.1</f>
        <v>202.33620000000002</v>
      </c>
      <c r="N137" s="553">
        <f t="shared" si="11"/>
        <v>238.756716</v>
      </c>
    </row>
    <row r="138" spans="1:14" s="364" customFormat="1" ht="12.75">
      <c r="A138" s="181"/>
      <c r="B138" s="126" t="s">
        <v>754</v>
      </c>
      <c r="C138" s="8">
        <v>1.2</v>
      </c>
      <c r="D138" s="405">
        <v>87.6</v>
      </c>
      <c r="E138" s="551">
        <f t="shared" si="14"/>
        <v>128.63203199999998</v>
      </c>
      <c r="F138" s="426">
        <f t="shared" si="9"/>
        <v>151.78579775999998</v>
      </c>
      <c r="G138" s="400">
        <f t="shared" si="12"/>
        <v>170.11586231999993</v>
      </c>
      <c r="H138" s="394">
        <f t="shared" si="13"/>
        <v>200.7367175375999</v>
      </c>
      <c r="I138" s="74">
        <v>1.2</v>
      </c>
      <c r="J138" s="405">
        <v>87.6</v>
      </c>
      <c r="K138" s="551">
        <f t="shared" si="15"/>
        <v>128.63203199999998</v>
      </c>
      <c r="L138" s="552">
        <f t="shared" si="10"/>
        <v>151.78579775999998</v>
      </c>
      <c r="M138" s="394">
        <f>191.13*1.1*3*1.1</f>
        <v>693.8019</v>
      </c>
      <c r="N138" s="553">
        <f t="shared" si="11"/>
        <v>818.686242</v>
      </c>
    </row>
    <row r="139" spans="1:14" s="364" customFormat="1" ht="12.75">
      <c r="A139" s="181"/>
      <c r="B139" s="558" t="s">
        <v>719</v>
      </c>
      <c r="C139" s="8">
        <v>1.8</v>
      </c>
      <c r="D139" s="425">
        <v>131.4</v>
      </c>
      <c r="E139" s="551">
        <f t="shared" si="14"/>
        <v>192.94804799999997</v>
      </c>
      <c r="F139" s="426">
        <f t="shared" si="9"/>
        <v>227.67869663999994</v>
      </c>
      <c r="G139" s="400">
        <f t="shared" si="12"/>
        <v>255.17379347999994</v>
      </c>
      <c r="H139" s="394">
        <f t="shared" si="13"/>
        <v>301.1050763063999</v>
      </c>
      <c r="I139" s="74">
        <v>1.8</v>
      </c>
      <c r="J139" s="425">
        <v>131.4</v>
      </c>
      <c r="K139" s="551">
        <f t="shared" si="15"/>
        <v>192.94804799999997</v>
      </c>
      <c r="L139" s="552">
        <f t="shared" si="10"/>
        <v>227.67869663999994</v>
      </c>
      <c r="M139" s="394">
        <f>286.69*1.1*3*1.1</f>
        <v>1040.6847000000002</v>
      </c>
      <c r="N139" s="553">
        <f t="shared" si="11"/>
        <v>1228.0079460000002</v>
      </c>
    </row>
    <row r="140" spans="1:14" s="433" customFormat="1" ht="12.75">
      <c r="A140" s="432" t="s">
        <v>271</v>
      </c>
      <c r="B140" s="123" t="s">
        <v>1517</v>
      </c>
      <c r="C140" s="14">
        <v>3.4</v>
      </c>
      <c r="D140" s="405"/>
      <c r="E140" s="559">
        <f t="shared" si="14"/>
        <v>364.457424</v>
      </c>
      <c r="F140" s="426">
        <f t="shared" si="9"/>
        <v>430.05976032</v>
      </c>
      <c r="G140" s="555">
        <f t="shared" si="12"/>
        <v>481.99494323999994</v>
      </c>
      <c r="H140" s="363">
        <f t="shared" si="13"/>
        <v>568.7540330231999</v>
      </c>
      <c r="I140" s="207">
        <v>3.4</v>
      </c>
      <c r="J140" s="405"/>
      <c r="K140" s="559">
        <f t="shared" si="15"/>
        <v>364.457424</v>
      </c>
      <c r="L140" s="552">
        <f t="shared" si="10"/>
        <v>430.05976032</v>
      </c>
      <c r="M140" s="34">
        <f>M141+M142+M143</f>
        <v>1965.7176000000004</v>
      </c>
      <c r="N140" s="366">
        <f t="shared" si="11"/>
        <v>2319.546768</v>
      </c>
    </row>
    <row r="141" spans="1:14" s="364" customFormat="1" ht="12.75">
      <c r="A141" s="181"/>
      <c r="B141" s="126" t="s">
        <v>750</v>
      </c>
      <c r="C141" s="8">
        <v>0.2</v>
      </c>
      <c r="D141" s="405">
        <v>25.55</v>
      </c>
      <c r="E141" s="551">
        <f>C141*97.36*1.101</f>
        <v>21.438672</v>
      </c>
      <c r="F141" s="426">
        <f t="shared" si="9"/>
        <v>25.297632959999998</v>
      </c>
      <c r="G141" s="400">
        <f t="shared" si="12"/>
        <v>28.352643719999996</v>
      </c>
      <c r="H141" s="394">
        <f t="shared" si="13"/>
        <v>33.45611958959999</v>
      </c>
      <c r="I141" s="74">
        <v>0.2</v>
      </c>
      <c r="J141" s="405">
        <v>25.55</v>
      </c>
      <c r="K141" s="551">
        <f t="shared" si="15"/>
        <v>21.438672</v>
      </c>
      <c r="L141" s="552">
        <f t="shared" si="10"/>
        <v>25.297632959999998</v>
      </c>
      <c r="M141" s="394">
        <f>31.85*1.1*3*1.1</f>
        <v>115.61550000000003</v>
      </c>
      <c r="N141" s="553">
        <f t="shared" si="11"/>
        <v>136.42629000000002</v>
      </c>
    </row>
    <row r="142" spans="1:14" s="364" customFormat="1" ht="12.75">
      <c r="A142" s="181"/>
      <c r="B142" s="126" t="s">
        <v>754</v>
      </c>
      <c r="C142" s="8">
        <v>1.2</v>
      </c>
      <c r="D142" s="405">
        <v>87.6</v>
      </c>
      <c r="E142" s="551">
        <f>C142*97.36*1.101</f>
        <v>128.63203199999998</v>
      </c>
      <c r="F142" s="426">
        <f t="shared" si="9"/>
        <v>151.78579775999998</v>
      </c>
      <c r="G142" s="400">
        <f t="shared" si="12"/>
        <v>170.11586231999993</v>
      </c>
      <c r="H142" s="394">
        <f t="shared" si="13"/>
        <v>200.7367175375999</v>
      </c>
      <c r="I142" s="74">
        <v>1.2</v>
      </c>
      <c r="J142" s="405">
        <v>87.6</v>
      </c>
      <c r="K142" s="551">
        <f t="shared" si="15"/>
        <v>128.63203199999998</v>
      </c>
      <c r="L142" s="552">
        <f t="shared" si="10"/>
        <v>151.78579775999998</v>
      </c>
      <c r="M142" s="394">
        <f>191.13*1.1*3*1.1</f>
        <v>693.8019</v>
      </c>
      <c r="N142" s="553">
        <f t="shared" si="11"/>
        <v>818.686242</v>
      </c>
    </row>
    <row r="143" spans="1:14" s="364" customFormat="1" ht="12.75">
      <c r="A143" s="181"/>
      <c r="B143" s="558" t="s">
        <v>719</v>
      </c>
      <c r="C143" s="8">
        <v>2</v>
      </c>
      <c r="D143" s="425">
        <v>131.4</v>
      </c>
      <c r="E143" s="551">
        <f>C143*97.36*1.101</f>
        <v>214.38672</v>
      </c>
      <c r="F143" s="426">
        <f t="shared" si="9"/>
        <v>252.97632959999999</v>
      </c>
      <c r="G143" s="400">
        <f t="shared" si="12"/>
        <v>283.5264371999999</v>
      </c>
      <c r="H143" s="394">
        <f t="shared" si="13"/>
        <v>334.5611958959999</v>
      </c>
      <c r="I143" s="74">
        <v>2</v>
      </c>
      <c r="J143" s="425">
        <v>131.4</v>
      </c>
      <c r="K143" s="551">
        <f t="shared" si="15"/>
        <v>214.38672</v>
      </c>
      <c r="L143" s="552">
        <f t="shared" si="10"/>
        <v>252.97632959999999</v>
      </c>
      <c r="M143" s="394">
        <f>318.54*1.1*3*1.1</f>
        <v>1156.3002000000004</v>
      </c>
      <c r="N143" s="553">
        <f t="shared" si="11"/>
        <v>1364.4342360000003</v>
      </c>
    </row>
    <row r="144" spans="1:14" s="433" customFormat="1" ht="12.75">
      <c r="A144" s="432" t="s">
        <v>272</v>
      </c>
      <c r="B144" s="123" t="s">
        <v>745</v>
      </c>
      <c r="C144" s="560">
        <v>1.8</v>
      </c>
      <c r="D144" s="561"/>
      <c r="E144" s="559">
        <f>C144*97.36*1.101</f>
        <v>192.94804799999997</v>
      </c>
      <c r="F144" s="426">
        <f t="shared" si="9"/>
        <v>227.67869663999994</v>
      </c>
      <c r="G144" s="555">
        <f t="shared" si="12"/>
        <v>255.17379347999994</v>
      </c>
      <c r="H144" s="363">
        <f t="shared" si="13"/>
        <v>301.1050763063999</v>
      </c>
      <c r="I144" s="562">
        <v>1.8</v>
      </c>
      <c r="J144" s="561"/>
      <c r="K144" s="559">
        <f t="shared" si="15"/>
        <v>192.94804799999997</v>
      </c>
      <c r="L144" s="552">
        <f t="shared" si="10"/>
        <v>227.67869663999994</v>
      </c>
      <c r="M144" s="34">
        <f>M145+M146+M147</f>
        <v>2312.6367</v>
      </c>
      <c r="N144" s="366">
        <f t="shared" si="11"/>
        <v>2728.911306</v>
      </c>
    </row>
    <row r="145" spans="1:14" s="364" customFormat="1" ht="12.75">
      <c r="A145" s="181"/>
      <c r="B145" s="126" t="s">
        <v>756</v>
      </c>
      <c r="C145" s="8">
        <v>0.5</v>
      </c>
      <c r="D145" s="425">
        <v>49.73</v>
      </c>
      <c r="E145" s="551">
        <f t="shared" si="14"/>
        <v>53.59668</v>
      </c>
      <c r="F145" s="426">
        <f t="shared" si="9"/>
        <v>63.244082399999996</v>
      </c>
      <c r="G145" s="400">
        <f t="shared" si="12"/>
        <v>70.88160929999998</v>
      </c>
      <c r="H145" s="394">
        <f t="shared" si="13"/>
        <v>83.64029897399998</v>
      </c>
      <c r="I145" s="74">
        <v>0.5</v>
      </c>
      <c r="J145" s="425">
        <v>49.73</v>
      </c>
      <c r="K145" s="551">
        <f t="shared" si="15"/>
        <v>53.59668</v>
      </c>
      <c r="L145" s="552">
        <f t="shared" si="10"/>
        <v>63.244082399999996</v>
      </c>
      <c r="M145" s="394">
        <f>79.64*1.1*3*1.1</f>
        <v>289.0932</v>
      </c>
      <c r="N145" s="553">
        <f t="shared" si="11"/>
        <v>341.129976</v>
      </c>
    </row>
    <row r="146" spans="1:15" s="364" customFormat="1" ht="12.75">
      <c r="A146" s="181"/>
      <c r="B146" s="126" t="s">
        <v>722</v>
      </c>
      <c r="C146" s="563">
        <v>2.2</v>
      </c>
      <c r="D146" s="425">
        <v>218.79</v>
      </c>
      <c r="E146" s="551">
        <f t="shared" si="14"/>
        <v>235.825392</v>
      </c>
      <c r="F146" s="426">
        <f t="shared" si="9"/>
        <v>278.27396256</v>
      </c>
      <c r="G146" s="400">
        <f t="shared" si="12"/>
        <v>311.8790809199999</v>
      </c>
      <c r="H146" s="394">
        <f t="shared" si="13"/>
        <v>368.0173154855999</v>
      </c>
      <c r="I146" s="74">
        <v>2.2</v>
      </c>
      <c r="J146" s="425">
        <v>218.79</v>
      </c>
      <c r="K146" s="551">
        <f t="shared" si="15"/>
        <v>235.825392</v>
      </c>
      <c r="L146" s="552">
        <f t="shared" si="10"/>
        <v>278.27396256</v>
      </c>
      <c r="M146" s="394">
        <f>350.4*1.1*3*1.1</f>
        <v>1271.952</v>
      </c>
      <c r="N146" s="553">
        <f t="shared" si="11"/>
        <v>1500.90336</v>
      </c>
      <c r="O146" s="429">
        <f>M146+M145</f>
        <v>1561.0452</v>
      </c>
    </row>
    <row r="147" spans="1:15" s="364" customFormat="1" ht="12.75">
      <c r="A147" s="181"/>
      <c r="B147" s="126" t="s">
        <v>723</v>
      </c>
      <c r="C147" s="8">
        <v>1.3</v>
      </c>
      <c r="D147" s="425">
        <v>129.29</v>
      </c>
      <c r="E147" s="551">
        <f t="shared" si="14"/>
        <v>139.351368</v>
      </c>
      <c r="F147" s="426">
        <f t="shared" si="9"/>
        <v>164.43461424</v>
      </c>
      <c r="G147" s="400">
        <f t="shared" si="12"/>
        <v>184.29218417999996</v>
      </c>
      <c r="H147" s="394">
        <f t="shared" si="13"/>
        <v>217.46477733239993</v>
      </c>
      <c r="I147" s="74">
        <v>1.3</v>
      </c>
      <c r="J147" s="425">
        <v>129.29</v>
      </c>
      <c r="K147" s="551">
        <f t="shared" si="15"/>
        <v>139.351368</v>
      </c>
      <c r="L147" s="552">
        <f t="shared" si="10"/>
        <v>164.43461424</v>
      </c>
      <c r="M147" s="394">
        <f>207.05*1.1*3*1.1</f>
        <v>751.5915000000002</v>
      </c>
      <c r="N147" s="553">
        <f t="shared" si="11"/>
        <v>886.8779700000002</v>
      </c>
      <c r="O147" s="429">
        <f>M147+M145</f>
        <v>1040.6847000000002</v>
      </c>
    </row>
    <row r="148" spans="1:14" s="433" customFormat="1" ht="12.75">
      <c r="A148" s="432" t="s">
        <v>273</v>
      </c>
      <c r="B148" s="123" t="s">
        <v>724</v>
      </c>
      <c r="C148" s="14">
        <v>4.95</v>
      </c>
      <c r="D148" s="405">
        <v>492.28</v>
      </c>
      <c r="E148" s="554">
        <f t="shared" si="14"/>
        <v>530.607132</v>
      </c>
      <c r="F148" s="426">
        <f t="shared" si="9"/>
        <v>626.11641576</v>
      </c>
      <c r="G148" s="555">
        <f t="shared" si="12"/>
        <v>701.7279320699998</v>
      </c>
      <c r="H148" s="363">
        <f t="shared" si="13"/>
        <v>828.0389598425998</v>
      </c>
      <c r="I148" s="207">
        <v>4.95</v>
      </c>
      <c r="J148" s="405">
        <v>492.28</v>
      </c>
      <c r="K148" s="554">
        <f t="shared" si="15"/>
        <v>530.607132</v>
      </c>
      <c r="L148" s="552">
        <f t="shared" si="10"/>
        <v>626.11641576</v>
      </c>
      <c r="M148" s="34">
        <f>M149+M150+M151</f>
        <v>2861.8557000000005</v>
      </c>
      <c r="N148" s="366">
        <f t="shared" si="11"/>
        <v>3376.9897260000002</v>
      </c>
    </row>
    <row r="149" spans="1:14" s="364" customFormat="1" ht="12.75">
      <c r="A149" s="181"/>
      <c r="B149" s="126" t="s">
        <v>750</v>
      </c>
      <c r="C149" s="8">
        <v>2</v>
      </c>
      <c r="D149" s="358">
        <v>198.9</v>
      </c>
      <c r="E149" s="551">
        <f t="shared" si="14"/>
        <v>214.38672</v>
      </c>
      <c r="F149" s="426">
        <f t="shared" si="9"/>
        <v>252.97632959999999</v>
      </c>
      <c r="G149" s="400">
        <f t="shared" si="12"/>
        <v>283.5264371999999</v>
      </c>
      <c r="H149" s="394">
        <f t="shared" si="13"/>
        <v>334.5611958959999</v>
      </c>
      <c r="I149" s="74">
        <v>2</v>
      </c>
      <c r="J149" s="358">
        <v>198.9</v>
      </c>
      <c r="K149" s="551">
        <f t="shared" si="15"/>
        <v>214.38672</v>
      </c>
      <c r="L149" s="552">
        <f t="shared" si="10"/>
        <v>252.97632959999999</v>
      </c>
      <c r="M149" s="394">
        <f>318.54*1.1*3*1.1</f>
        <v>1156.3002000000004</v>
      </c>
      <c r="N149" s="553">
        <f t="shared" si="11"/>
        <v>1364.4342360000003</v>
      </c>
    </row>
    <row r="150" spans="1:14" s="364" customFormat="1" ht="12.75">
      <c r="A150" s="181"/>
      <c r="B150" s="126" t="s">
        <v>754</v>
      </c>
      <c r="C150" s="8">
        <v>0.75</v>
      </c>
      <c r="D150" s="425">
        <v>74.59</v>
      </c>
      <c r="E150" s="551">
        <f t="shared" si="14"/>
        <v>80.39501999999999</v>
      </c>
      <c r="F150" s="426">
        <f t="shared" si="9"/>
        <v>94.86612359999998</v>
      </c>
      <c r="G150" s="400">
        <f t="shared" si="12"/>
        <v>106.32241394999996</v>
      </c>
      <c r="H150" s="394">
        <f t="shared" si="13"/>
        <v>125.46044846099994</v>
      </c>
      <c r="I150" s="74">
        <v>0.75</v>
      </c>
      <c r="J150" s="425">
        <v>74.59</v>
      </c>
      <c r="K150" s="551">
        <f t="shared" si="15"/>
        <v>80.39501999999999</v>
      </c>
      <c r="L150" s="552">
        <f t="shared" si="10"/>
        <v>94.86612359999998</v>
      </c>
      <c r="M150" s="394">
        <f>119.45*1.1*3*1.1</f>
        <v>433.6035000000001</v>
      </c>
      <c r="N150" s="553">
        <f t="shared" si="11"/>
        <v>511.6521300000001</v>
      </c>
    </row>
    <row r="151" spans="1:14" s="364" customFormat="1" ht="12.75">
      <c r="A151" s="181"/>
      <c r="B151" s="558" t="s">
        <v>719</v>
      </c>
      <c r="C151" s="8">
        <v>2.2</v>
      </c>
      <c r="D151" s="428">
        <v>218.79</v>
      </c>
      <c r="E151" s="551">
        <f t="shared" si="14"/>
        <v>235.825392</v>
      </c>
      <c r="F151" s="426">
        <f t="shared" si="9"/>
        <v>278.27396256</v>
      </c>
      <c r="G151" s="400">
        <f t="shared" si="12"/>
        <v>311.8790809199999</v>
      </c>
      <c r="H151" s="394">
        <f t="shared" si="13"/>
        <v>368.0173154855999</v>
      </c>
      <c r="I151" s="74">
        <v>2.2</v>
      </c>
      <c r="J151" s="428">
        <v>218.79</v>
      </c>
      <c r="K151" s="551">
        <f t="shared" si="15"/>
        <v>235.825392</v>
      </c>
      <c r="L151" s="552">
        <f t="shared" si="10"/>
        <v>278.27396256</v>
      </c>
      <c r="M151" s="394">
        <f>350.4*1.1*3*1.1</f>
        <v>1271.952</v>
      </c>
      <c r="N151" s="553">
        <f t="shared" si="11"/>
        <v>1500.90336</v>
      </c>
    </row>
    <row r="152" spans="1:14" s="433" customFormat="1" ht="12.75">
      <c r="A152" s="432" t="s">
        <v>274</v>
      </c>
      <c r="B152" s="123" t="s">
        <v>725</v>
      </c>
      <c r="C152" s="14">
        <v>1</v>
      </c>
      <c r="D152" s="405">
        <v>99.45</v>
      </c>
      <c r="E152" s="554">
        <f t="shared" si="14"/>
        <v>107.19336</v>
      </c>
      <c r="F152" s="426">
        <f t="shared" si="9"/>
        <v>126.48816479999999</v>
      </c>
      <c r="G152" s="555">
        <f t="shared" si="12"/>
        <v>141.76321859999996</v>
      </c>
      <c r="H152" s="363">
        <f t="shared" si="13"/>
        <v>167.28059794799995</v>
      </c>
      <c r="I152" s="207">
        <v>1</v>
      </c>
      <c r="J152" s="405">
        <v>99.45</v>
      </c>
      <c r="K152" s="554">
        <f t="shared" si="15"/>
        <v>107.19336</v>
      </c>
      <c r="L152" s="552">
        <f t="shared" si="10"/>
        <v>126.48816479999999</v>
      </c>
      <c r="M152" s="363">
        <f>159.27*1.1*3*1.1</f>
        <v>578.1501000000002</v>
      </c>
      <c r="N152" s="366">
        <f t="shared" si="11"/>
        <v>682.2171180000001</v>
      </c>
    </row>
    <row r="153" spans="1:14" s="433" customFormat="1" ht="12.75">
      <c r="A153" s="432" t="s">
        <v>275</v>
      </c>
      <c r="B153" s="123" t="s">
        <v>746</v>
      </c>
      <c r="C153" s="14">
        <v>5.1</v>
      </c>
      <c r="D153" s="405">
        <v>507.2</v>
      </c>
      <c r="E153" s="554">
        <f t="shared" si="14"/>
        <v>546.6861359999999</v>
      </c>
      <c r="F153" s="426">
        <f t="shared" si="9"/>
        <v>645.0896404799998</v>
      </c>
      <c r="G153" s="555">
        <f t="shared" si="12"/>
        <v>722.9924148599998</v>
      </c>
      <c r="H153" s="363">
        <f t="shared" si="13"/>
        <v>853.1310495347998</v>
      </c>
      <c r="I153" s="207">
        <v>5.1</v>
      </c>
      <c r="J153" s="405">
        <v>507.2</v>
      </c>
      <c r="K153" s="554">
        <f t="shared" si="15"/>
        <v>546.6861359999999</v>
      </c>
      <c r="L153" s="552">
        <f t="shared" si="10"/>
        <v>645.0896404799998</v>
      </c>
      <c r="M153" s="34">
        <f>M154+M155+M156</f>
        <v>2948.5764</v>
      </c>
      <c r="N153" s="366">
        <f t="shared" si="11"/>
        <v>3479.320152</v>
      </c>
    </row>
    <row r="154" spans="1:14" s="364" customFormat="1" ht="12.75">
      <c r="A154" s="181"/>
      <c r="B154" s="126" t="s">
        <v>750</v>
      </c>
      <c r="C154" s="430">
        <v>0.2</v>
      </c>
      <c r="D154" s="425">
        <v>19.89</v>
      </c>
      <c r="E154" s="551">
        <f t="shared" si="14"/>
        <v>21.438672</v>
      </c>
      <c r="F154" s="426">
        <f t="shared" si="9"/>
        <v>25.297632959999998</v>
      </c>
      <c r="G154" s="400">
        <f t="shared" si="12"/>
        <v>28.352643719999996</v>
      </c>
      <c r="H154" s="394">
        <f t="shared" si="13"/>
        <v>33.45611958959999</v>
      </c>
      <c r="I154" s="357">
        <v>0.2</v>
      </c>
      <c r="J154" s="425">
        <v>19.89</v>
      </c>
      <c r="K154" s="551">
        <f t="shared" si="15"/>
        <v>21.438672</v>
      </c>
      <c r="L154" s="552">
        <f t="shared" si="10"/>
        <v>25.297632959999998</v>
      </c>
      <c r="M154" s="394">
        <f>31.85*1.1*3*1.1</f>
        <v>115.61550000000003</v>
      </c>
      <c r="N154" s="553">
        <f t="shared" si="11"/>
        <v>136.42629000000002</v>
      </c>
    </row>
    <row r="155" spans="1:14" s="364" customFormat="1" ht="12.75">
      <c r="A155" s="181"/>
      <c r="B155" s="126" t="s">
        <v>754</v>
      </c>
      <c r="C155" s="8">
        <v>1.2</v>
      </c>
      <c r="D155" s="425">
        <v>119.34</v>
      </c>
      <c r="E155" s="551">
        <f t="shared" si="14"/>
        <v>128.63203199999998</v>
      </c>
      <c r="F155" s="426">
        <f t="shared" si="9"/>
        <v>151.78579775999998</v>
      </c>
      <c r="G155" s="400">
        <f t="shared" si="12"/>
        <v>170.11586231999993</v>
      </c>
      <c r="H155" s="394">
        <f t="shared" si="13"/>
        <v>200.7367175375999</v>
      </c>
      <c r="I155" s="74">
        <v>1.2</v>
      </c>
      <c r="J155" s="425">
        <v>119.34</v>
      </c>
      <c r="K155" s="551">
        <f t="shared" si="15"/>
        <v>128.63203199999998</v>
      </c>
      <c r="L155" s="552">
        <f t="shared" si="10"/>
        <v>151.78579775999998</v>
      </c>
      <c r="M155" s="394">
        <f>191.13*1.1*3*1.1</f>
        <v>693.8019</v>
      </c>
      <c r="N155" s="553">
        <f t="shared" si="11"/>
        <v>818.686242</v>
      </c>
    </row>
    <row r="156" spans="1:14" s="364" customFormat="1" ht="12.75">
      <c r="A156" s="181"/>
      <c r="B156" s="558" t="s">
        <v>719</v>
      </c>
      <c r="C156" s="8">
        <v>3.7</v>
      </c>
      <c r="D156" s="425">
        <v>367.97</v>
      </c>
      <c r="E156" s="551">
        <f t="shared" si="14"/>
        <v>396.615432</v>
      </c>
      <c r="F156" s="426">
        <f t="shared" si="9"/>
        <v>468.00620976</v>
      </c>
      <c r="G156" s="400">
        <f t="shared" si="12"/>
        <v>524.52390882</v>
      </c>
      <c r="H156" s="394">
        <f t="shared" si="13"/>
        <v>618.9382124076</v>
      </c>
      <c r="I156" s="74">
        <v>3.7</v>
      </c>
      <c r="J156" s="425">
        <v>367.97</v>
      </c>
      <c r="K156" s="551">
        <f t="shared" si="15"/>
        <v>396.615432</v>
      </c>
      <c r="L156" s="552">
        <f t="shared" si="10"/>
        <v>468.00620976</v>
      </c>
      <c r="M156" s="394">
        <f>589.3*1.1*3*1.1</f>
        <v>2139.159</v>
      </c>
      <c r="N156" s="553">
        <f t="shared" si="11"/>
        <v>2524.20762</v>
      </c>
    </row>
    <row r="157" spans="1:14" s="360" customFormat="1" ht="25.5">
      <c r="A157" s="182" t="s">
        <v>276</v>
      </c>
      <c r="B157" s="198" t="s">
        <v>2859</v>
      </c>
      <c r="C157" s="115">
        <v>3.55</v>
      </c>
      <c r="D157" s="550">
        <v>353.06</v>
      </c>
      <c r="E157" s="554">
        <f t="shared" si="14"/>
        <v>380.536428</v>
      </c>
      <c r="F157" s="426">
        <f t="shared" si="9"/>
        <v>449.03298503999997</v>
      </c>
      <c r="G157" s="400">
        <f t="shared" si="12"/>
        <v>503.25942602999993</v>
      </c>
      <c r="H157" s="363">
        <f t="shared" si="13"/>
        <v>593.8461227153999</v>
      </c>
      <c r="I157" s="209">
        <v>3.8</v>
      </c>
      <c r="J157" s="550">
        <v>353.06</v>
      </c>
      <c r="K157" s="554">
        <f t="shared" si="15"/>
        <v>407.33476799999994</v>
      </c>
      <c r="L157" s="552">
        <f t="shared" si="10"/>
        <v>480.6550262399999</v>
      </c>
      <c r="M157" s="363">
        <f>605.23*1.1*3*1.1</f>
        <v>2196.9849000000004</v>
      </c>
      <c r="N157" s="366">
        <f t="shared" si="11"/>
        <v>2592.4421820000002</v>
      </c>
    </row>
    <row r="158" spans="1:14" s="433" customFormat="1" ht="12.75">
      <c r="A158" s="432" t="s">
        <v>277</v>
      </c>
      <c r="B158" s="123" t="s">
        <v>840</v>
      </c>
      <c r="C158" s="14">
        <v>3.4</v>
      </c>
      <c r="D158" s="405">
        <v>338.13</v>
      </c>
      <c r="E158" s="554">
        <f t="shared" si="14"/>
        <v>364.457424</v>
      </c>
      <c r="F158" s="426">
        <f t="shared" si="9"/>
        <v>430.05976032</v>
      </c>
      <c r="G158" s="555">
        <f t="shared" si="12"/>
        <v>481.99494323999994</v>
      </c>
      <c r="H158" s="363">
        <f t="shared" si="13"/>
        <v>568.7540330231999</v>
      </c>
      <c r="I158" s="207">
        <v>3.4</v>
      </c>
      <c r="J158" s="405">
        <v>338.13</v>
      </c>
      <c r="K158" s="554">
        <f t="shared" si="15"/>
        <v>364.457424</v>
      </c>
      <c r="L158" s="552">
        <f t="shared" si="10"/>
        <v>430.05976032</v>
      </c>
      <c r="M158" s="34">
        <f>M159+M160+M161</f>
        <v>1965.7176000000004</v>
      </c>
      <c r="N158" s="366">
        <f t="shared" si="11"/>
        <v>2319.546768</v>
      </c>
    </row>
    <row r="159" spans="1:14" s="364" customFormat="1" ht="12.75">
      <c r="A159" s="181"/>
      <c r="B159" s="126" t="s">
        <v>750</v>
      </c>
      <c r="C159" s="8">
        <v>0.2</v>
      </c>
      <c r="D159" s="405">
        <v>19.89</v>
      </c>
      <c r="E159" s="551">
        <f t="shared" si="14"/>
        <v>21.438672</v>
      </c>
      <c r="F159" s="426">
        <f t="shared" si="9"/>
        <v>25.297632959999998</v>
      </c>
      <c r="G159" s="400">
        <f t="shared" si="12"/>
        <v>28.352643719999996</v>
      </c>
      <c r="H159" s="394">
        <f t="shared" si="13"/>
        <v>33.45611958959999</v>
      </c>
      <c r="I159" s="74">
        <v>0.2</v>
      </c>
      <c r="J159" s="405">
        <v>19.89</v>
      </c>
      <c r="K159" s="551">
        <f t="shared" si="15"/>
        <v>21.438672</v>
      </c>
      <c r="L159" s="552">
        <f t="shared" si="10"/>
        <v>25.297632959999998</v>
      </c>
      <c r="M159" s="394">
        <f>31.85*1.1*3*1.1</f>
        <v>115.61550000000003</v>
      </c>
      <c r="N159" s="553">
        <f t="shared" si="11"/>
        <v>136.42629000000002</v>
      </c>
    </row>
    <row r="160" spans="1:14" s="364" customFormat="1" ht="12.75">
      <c r="A160" s="181"/>
      <c r="B160" s="126" t="s">
        <v>754</v>
      </c>
      <c r="C160" s="8">
        <v>1.2</v>
      </c>
      <c r="D160" s="405">
        <v>119.34</v>
      </c>
      <c r="E160" s="551">
        <f t="shared" si="14"/>
        <v>128.63203199999998</v>
      </c>
      <c r="F160" s="426">
        <f t="shared" si="9"/>
        <v>151.78579775999998</v>
      </c>
      <c r="G160" s="400">
        <f t="shared" si="12"/>
        <v>170.11586231999993</v>
      </c>
      <c r="H160" s="394">
        <f t="shared" si="13"/>
        <v>200.7367175375999</v>
      </c>
      <c r="I160" s="74">
        <v>1.2</v>
      </c>
      <c r="J160" s="405">
        <v>119.34</v>
      </c>
      <c r="K160" s="551">
        <f t="shared" si="15"/>
        <v>128.63203199999998</v>
      </c>
      <c r="L160" s="552">
        <f t="shared" si="10"/>
        <v>151.78579775999998</v>
      </c>
      <c r="M160" s="394">
        <f>191.13*1.1*3*1.1</f>
        <v>693.8019</v>
      </c>
      <c r="N160" s="553">
        <f t="shared" si="11"/>
        <v>818.686242</v>
      </c>
    </row>
    <row r="161" spans="1:14" s="364" customFormat="1" ht="12.75">
      <c r="A161" s="181"/>
      <c r="B161" s="558" t="s">
        <v>719</v>
      </c>
      <c r="C161" s="8">
        <v>2</v>
      </c>
      <c r="D161" s="425">
        <v>198.9</v>
      </c>
      <c r="E161" s="551">
        <f t="shared" si="14"/>
        <v>214.38672</v>
      </c>
      <c r="F161" s="426">
        <f aca="true" t="shared" si="16" ref="F161:F245">E161*1.18</f>
        <v>252.97632959999999</v>
      </c>
      <c r="G161" s="400">
        <f t="shared" si="12"/>
        <v>283.5264371999999</v>
      </c>
      <c r="H161" s="394">
        <f t="shared" si="13"/>
        <v>334.5611958959999</v>
      </c>
      <c r="I161" s="74">
        <v>2</v>
      </c>
      <c r="J161" s="425">
        <v>198.9</v>
      </c>
      <c r="K161" s="551">
        <f t="shared" si="15"/>
        <v>214.38672</v>
      </c>
      <c r="L161" s="552">
        <f t="shared" si="10"/>
        <v>252.97632959999999</v>
      </c>
      <c r="M161" s="394">
        <f>318.54*1.1*3*1.1</f>
        <v>1156.3002000000004</v>
      </c>
      <c r="N161" s="553">
        <f t="shared" si="11"/>
        <v>1364.4342360000003</v>
      </c>
    </row>
    <row r="162" spans="1:14" s="433" customFormat="1" ht="12.75">
      <c r="A162" s="432" t="s">
        <v>278</v>
      </c>
      <c r="B162" s="123" t="s">
        <v>798</v>
      </c>
      <c r="C162" s="14">
        <v>5.1</v>
      </c>
      <c r="D162" s="405">
        <v>507.2</v>
      </c>
      <c r="E162" s="554">
        <f t="shared" si="14"/>
        <v>546.6861359999999</v>
      </c>
      <c r="F162" s="426">
        <f t="shared" si="16"/>
        <v>645.0896404799998</v>
      </c>
      <c r="G162" s="555">
        <f t="shared" si="12"/>
        <v>722.9924148599998</v>
      </c>
      <c r="H162" s="363">
        <f t="shared" si="13"/>
        <v>853.1310495347998</v>
      </c>
      <c r="I162" s="207">
        <v>5.1</v>
      </c>
      <c r="J162" s="405">
        <v>507.2</v>
      </c>
      <c r="K162" s="554">
        <f t="shared" si="15"/>
        <v>546.6861359999999</v>
      </c>
      <c r="L162" s="552">
        <f t="shared" si="10"/>
        <v>645.0896404799998</v>
      </c>
      <c r="M162" s="34">
        <f>M163+M164+M165</f>
        <v>2948.576400000001</v>
      </c>
      <c r="N162" s="366">
        <f t="shared" si="11"/>
        <v>3479.3201520000007</v>
      </c>
    </row>
    <row r="163" spans="1:14" s="364" customFormat="1" ht="12.75">
      <c r="A163" s="181"/>
      <c r="B163" s="126" t="s">
        <v>750</v>
      </c>
      <c r="C163" s="8">
        <v>0.9</v>
      </c>
      <c r="D163" s="425">
        <v>89.51</v>
      </c>
      <c r="E163" s="551">
        <f t="shared" si="14"/>
        <v>96.47402399999999</v>
      </c>
      <c r="F163" s="426">
        <f t="shared" si="16"/>
        <v>113.83934831999997</v>
      </c>
      <c r="G163" s="400">
        <f t="shared" si="12"/>
        <v>127.58689673999997</v>
      </c>
      <c r="H163" s="394">
        <f t="shared" si="13"/>
        <v>150.55253815319995</v>
      </c>
      <c r="I163" s="74">
        <v>0.9</v>
      </c>
      <c r="J163" s="425">
        <v>89.51</v>
      </c>
      <c r="K163" s="551">
        <f t="shared" si="15"/>
        <v>96.47402399999999</v>
      </c>
      <c r="L163" s="552">
        <f t="shared" si="10"/>
        <v>113.83934831999997</v>
      </c>
      <c r="M163" s="394">
        <f>143.34*1.1*3*1.1</f>
        <v>520.3242000000001</v>
      </c>
      <c r="N163" s="553">
        <f t="shared" si="11"/>
        <v>613.9825560000002</v>
      </c>
    </row>
    <row r="164" spans="1:14" s="364" customFormat="1" ht="12.75">
      <c r="A164" s="181"/>
      <c r="B164" s="126" t="s">
        <v>754</v>
      </c>
      <c r="C164" s="8">
        <v>1.4</v>
      </c>
      <c r="D164" s="425">
        <v>139.23</v>
      </c>
      <c r="E164" s="551">
        <f t="shared" si="14"/>
        <v>150.070704</v>
      </c>
      <c r="F164" s="426">
        <f t="shared" si="16"/>
        <v>177.08343072</v>
      </c>
      <c r="G164" s="400">
        <f t="shared" si="12"/>
        <v>198.46850604</v>
      </c>
      <c r="H164" s="394">
        <f t="shared" si="13"/>
        <v>234.1928371272</v>
      </c>
      <c r="I164" s="74">
        <v>1.4</v>
      </c>
      <c r="J164" s="425">
        <v>139.23</v>
      </c>
      <c r="K164" s="551">
        <f t="shared" si="15"/>
        <v>150.070704</v>
      </c>
      <c r="L164" s="552">
        <f aca="true" t="shared" si="17" ref="L164:L245">K164*1.18</f>
        <v>177.08343072</v>
      </c>
      <c r="M164" s="394">
        <f>222.98*1.1*3*1.1</f>
        <v>809.4174000000002</v>
      </c>
      <c r="N164" s="553">
        <f t="shared" si="11"/>
        <v>955.1125320000001</v>
      </c>
    </row>
    <row r="165" spans="1:14" s="364" customFormat="1" ht="12.75">
      <c r="A165" s="181"/>
      <c r="B165" s="558" t="s">
        <v>719</v>
      </c>
      <c r="C165" s="8">
        <v>2.8</v>
      </c>
      <c r="D165" s="428">
        <v>278.46</v>
      </c>
      <c r="E165" s="551">
        <f t="shared" si="14"/>
        <v>300.141408</v>
      </c>
      <c r="F165" s="426">
        <f t="shared" si="16"/>
        <v>354.16686144</v>
      </c>
      <c r="G165" s="400">
        <f t="shared" si="12"/>
        <v>396.93701208</v>
      </c>
      <c r="H165" s="394">
        <f t="shared" si="13"/>
        <v>468.3856742544</v>
      </c>
      <c r="I165" s="74">
        <v>2.8</v>
      </c>
      <c r="J165" s="428">
        <v>278.46</v>
      </c>
      <c r="K165" s="551">
        <f t="shared" si="15"/>
        <v>300.141408</v>
      </c>
      <c r="L165" s="552">
        <f t="shared" si="17"/>
        <v>354.16686144</v>
      </c>
      <c r="M165" s="394">
        <f>445.96*1.1*3*1.1</f>
        <v>1618.8348000000003</v>
      </c>
      <c r="N165" s="553">
        <f aca="true" t="shared" si="18" ref="N165:N246">M165*1.18</f>
        <v>1910.2250640000002</v>
      </c>
    </row>
    <row r="166" spans="1:14" s="433" customFormat="1" ht="12.75">
      <c r="A166" s="432" t="s">
        <v>279</v>
      </c>
      <c r="B166" s="123" t="s">
        <v>1031</v>
      </c>
      <c r="C166" s="14">
        <v>3.6</v>
      </c>
      <c r="D166" s="405">
        <v>507.2</v>
      </c>
      <c r="E166" s="554">
        <f>C166*97.36*1.101</f>
        <v>385.89609599999994</v>
      </c>
      <c r="F166" s="426">
        <f t="shared" si="16"/>
        <v>455.3573932799999</v>
      </c>
      <c r="G166" s="555">
        <f t="shared" si="12"/>
        <v>510.3475869599999</v>
      </c>
      <c r="H166" s="363">
        <f t="shared" si="13"/>
        <v>602.2101526127998</v>
      </c>
      <c r="I166" s="207">
        <v>3.6</v>
      </c>
      <c r="J166" s="405">
        <v>507.2</v>
      </c>
      <c r="K166" s="554">
        <f t="shared" si="15"/>
        <v>385.89609599999994</v>
      </c>
      <c r="L166" s="552">
        <f t="shared" si="17"/>
        <v>455.3573932799999</v>
      </c>
      <c r="M166" s="34">
        <f>M167+M168+M169</f>
        <v>2081.3331000000003</v>
      </c>
      <c r="N166" s="366">
        <f t="shared" si="18"/>
        <v>2455.973058</v>
      </c>
    </row>
    <row r="167" spans="1:14" s="364" customFormat="1" ht="12.75">
      <c r="A167" s="181"/>
      <c r="B167" s="126" t="s">
        <v>750</v>
      </c>
      <c r="C167" s="8">
        <v>0.4</v>
      </c>
      <c r="D167" s="425">
        <v>89.51</v>
      </c>
      <c r="E167" s="551">
        <f>C167*97.36*1.101</f>
        <v>42.877344</v>
      </c>
      <c r="F167" s="426">
        <f t="shared" si="16"/>
        <v>50.595265919999996</v>
      </c>
      <c r="G167" s="400">
        <f aca="true" t="shared" si="19" ref="G167:G248">E167*1.15*1.15</f>
        <v>56.70528743999999</v>
      </c>
      <c r="H167" s="394">
        <f>G167*1.18</f>
        <v>66.91223917919999</v>
      </c>
      <c r="I167" s="74">
        <v>0.4</v>
      </c>
      <c r="J167" s="425">
        <v>89.51</v>
      </c>
      <c r="K167" s="551">
        <f t="shared" si="15"/>
        <v>42.877344</v>
      </c>
      <c r="L167" s="552">
        <f t="shared" si="17"/>
        <v>50.595265919999996</v>
      </c>
      <c r="M167" s="394">
        <f>63.71*1.1*3*1.1</f>
        <v>231.2673</v>
      </c>
      <c r="N167" s="553">
        <f>M167*1.18</f>
        <v>272.895414</v>
      </c>
    </row>
    <row r="168" spans="1:14" s="364" customFormat="1" ht="12.75">
      <c r="A168" s="181"/>
      <c r="B168" s="126" t="s">
        <v>754</v>
      </c>
      <c r="C168" s="8">
        <v>1.3</v>
      </c>
      <c r="D168" s="425">
        <v>139.23</v>
      </c>
      <c r="E168" s="551">
        <f>C168*97.36*1.101</f>
        <v>139.351368</v>
      </c>
      <c r="F168" s="426">
        <f t="shared" si="16"/>
        <v>164.43461424</v>
      </c>
      <c r="G168" s="400">
        <f t="shared" si="19"/>
        <v>184.29218417999996</v>
      </c>
      <c r="H168" s="394">
        <f>G168*1.18</f>
        <v>217.46477733239993</v>
      </c>
      <c r="I168" s="74">
        <v>1.3</v>
      </c>
      <c r="J168" s="425">
        <v>139.23</v>
      </c>
      <c r="K168" s="551">
        <f t="shared" si="15"/>
        <v>139.351368</v>
      </c>
      <c r="L168" s="552">
        <f t="shared" si="17"/>
        <v>164.43461424</v>
      </c>
      <c r="M168" s="394">
        <f>207.05*1.1*3*1.1</f>
        <v>751.5915000000002</v>
      </c>
      <c r="N168" s="553">
        <f>M168*1.18</f>
        <v>886.8779700000002</v>
      </c>
    </row>
    <row r="169" spans="1:14" s="364" customFormat="1" ht="12.75">
      <c r="A169" s="181"/>
      <c r="B169" s="558" t="s">
        <v>719</v>
      </c>
      <c r="C169" s="8">
        <v>1.9</v>
      </c>
      <c r="D169" s="428">
        <v>278.46</v>
      </c>
      <c r="E169" s="551">
        <f>C169*97.36*1.101</f>
        <v>203.66738399999997</v>
      </c>
      <c r="F169" s="426">
        <f t="shared" si="16"/>
        <v>240.32751311999996</v>
      </c>
      <c r="G169" s="400">
        <f t="shared" si="19"/>
        <v>269.35011533999995</v>
      </c>
      <c r="H169" s="394">
        <f aca="true" t="shared" si="20" ref="H169:H250">G169*1.18</f>
        <v>317.8331361011999</v>
      </c>
      <c r="I169" s="74">
        <v>1.9</v>
      </c>
      <c r="J169" s="428">
        <v>278.46</v>
      </c>
      <c r="K169" s="551">
        <f t="shared" si="15"/>
        <v>203.66738399999997</v>
      </c>
      <c r="L169" s="552">
        <f t="shared" si="17"/>
        <v>240.32751311999996</v>
      </c>
      <c r="M169" s="394">
        <f>302.61*1.1*3*1.1</f>
        <v>1098.4743</v>
      </c>
      <c r="N169" s="553">
        <f t="shared" si="18"/>
        <v>1296.199674</v>
      </c>
    </row>
    <row r="170" spans="1:14" s="433" customFormat="1" ht="12.75">
      <c r="A170" s="432" t="s">
        <v>280</v>
      </c>
      <c r="B170" s="123" t="s">
        <v>726</v>
      </c>
      <c r="C170" s="14">
        <v>6.1</v>
      </c>
      <c r="D170" s="405">
        <v>606.65</v>
      </c>
      <c r="E170" s="554">
        <f t="shared" si="14"/>
        <v>653.8794959999999</v>
      </c>
      <c r="F170" s="426">
        <f t="shared" si="16"/>
        <v>771.5778052799999</v>
      </c>
      <c r="G170" s="555">
        <f t="shared" si="19"/>
        <v>864.7556334599998</v>
      </c>
      <c r="H170" s="363">
        <f t="shared" si="20"/>
        <v>1020.4116474827997</v>
      </c>
      <c r="I170" s="207">
        <v>6.1</v>
      </c>
      <c r="J170" s="405">
        <v>606.65</v>
      </c>
      <c r="K170" s="554">
        <f t="shared" si="15"/>
        <v>653.8794959999999</v>
      </c>
      <c r="L170" s="552">
        <f t="shared" si="17"/>
        <v>771.5778052799999</v>
      </c>
      <c r="M170" s="34">
        <f>M171+M172+M173</f>
        <v>3526.7265000000007</v>
      </c>
      <c r="N170" s="366">
        <f t="shared" si="18"/>
        <v>4161.537270000001</v>
      </c>
    </row>
    <row r="171" spans="1:14" s="364" customFormat="1" ht="12.75">
      <c r="A171" s="182"/>
      <c r="B171" s="126" t="s">
        <v>750</v>
      </c>
      <c r="C171" s="8">
        <v>0.2</v>
      </c>
      <c r="D171" s="425">
        <v>19.89</v>
      </c>
      <c r="E171" s="551">
        <f t="shared" si="14"/>
        <v>21.438672</v>
      </c>
      <c r="F171" s="426">
        <f t="shared" si="16"/>
        <v>25.297632959999998</v>
      </c>
      <c r="G171" s="400">
        <f t="shared" si="19"/>
        <v>28.352643719999996</v>
      </c>
      <c r="H171" s="394">
        <f t="shared" si="20"/>
        <v>33.45611958959999</v>
      </c>
      <c r="I171" s="74">
        <v>0.2</v>
      </c>
      <c r="J171" s="425">
        <v>19.89</v>
      </c>
      <c r="K171" s="551">
        <f t="shared" si="15"/>
        <v>21.438672</v>
      </c>
      <c r="L171" s="552">
        <f t="shared" si="17"/>
        <v>25.297632959999998</v>
      </c>
      <c r="M171" s="394">
        <f>31.85*1.1*3*1.1</f>
        <v>115.61550000000003</v>
      </c>
      <c r="N171" s="553">
        <f t="shared" si="18"/>
        <v>136.42629000000002</v>
      </c>
    </row>
    <row r="172" spans="1:14" s="364" customFormat="1" ht="12.75">
      <c r="A172" s="182"/>
      <c r="B172" s="126" t="s">
        <v>754</v>
      </c>
      <c r="C172" s="8">
        <v>0.7</v>
      </c>
      <c r="D172" s="425">
        <v>69.62</v>
      </c>
      <c r="E172" s="551">
        <f t="shared" si="14"/>
        <v>75.035352</v>
      </c>
      <c r="F172" s="426">
        <f t="shared" si="16"/>
        <v>88.54171536</v>
      </c>
      <c r="G172" s="400">
        <f t="shared" si="19"/>
        <v>99.23425302</v>
      </c>
      <c r="H172" s="394">
        <f t="shared" si="20"/>
        <v>117.0964185636</v>
      </c>
      <c r="I172" s="74">
        <v>0.7</v>
      </c>
      <c r="J172" s="425">
        <v>69.62</v>
      </c>
      <c r="K172" s="551">
        <f t="shared" si="15"/>
        <v>75.035352</v>
      </c>
      <c r="L172" s="552">
        <f t="shared" si="17"/>
        <v>88.54171536</v>
      </c>
      <c r="M172" s="400">
        <f>111.49*1.1*3*1.1</f>
        <v>404.7087000000001</v>
      </c>
      <c r="N172" s="553">
        <f t="shared" si="18"/>
        <v>477.55626600000005</v>
      </c>
    </row>
    <row r="173" spans="1:14" s="364" customFormat="1" ht="12.75">
      <c r="A173" s="182"/>
      <c r="B173" s="558" t="s">
        <v>719</v>
      </c>
      <c r="C173" s="8">
        <v>5.2</v>
      </c>
      <c r="D173" s="425">
        <v>517.14</v>
      </c>
      <c r="E173" s="551">
        <f t="shared" si="14"/>
        <v>557.405472</v>
      </c>
      <c r="F173" s="426">
        <f t="shared" si="16"/>
        <v>657.73845696</v>
      </c>
      <c r="G173" s="400">
        <f t="shared" si="19"/>
        <v>737.1687367199999</v>
      </c>
      <c r="H173" s="394">
        <f t="shared" si="20"/>
        <v>869.8591093295997</v>
      </c>
      <c r="I173" s="74">
        <v>5.2</v>
      </c>
      <c r="J173" s="425">
        <v>517.14</v>
      </c>
      <c r="K173" s="551">
        <f t="shared" si="15"/>
        <v>557.405472</v>
      </c>
      <c r="L173" s="552">
        <f t="shared" si="17"/>
        <v>657.73845696</v>
      </c>
      <c r="M173" s="400">
        <f>828.21*1.1*3*1.1</f>
        <v>3006.4023000000007</v>
      </c>
      <c r="N173" s="553">
        <f t="shared" si="18"/>
        <v>3547.554714000001</v>
      </c>
    </row>
    <row r="174" spans="1:14" s="3" customFormat="1" ht="12.75">
      <c r="A174" s="432" t="s">
        <v>281</v>
      </c>
      <c r="B174" s="123" t="s">
        <v>727</v>
      </c>
      <c r="C174" s="14">
        <v>1.3</v>
      </c>
      <c r="D174" s="30">
        <v>129.29</v>
      </c>
      <c r="E174" s="59">
        <f t="shared" si="14"/>
        <v>139.351368</v>
      </c>
      <c r="F174" s="50">
        <f t="shared" si="16"/>
        <v>164.43461424</v>
      </c>
      <c r="G174" s="34">
        <f t="shared" si="19"/>
        <v>184.29218417999996</v>
      </c>
      <c r="H174" s="19">
        <f t="shared" si="20"/>
        <v>217.46477733239993</v>
      </c>
      <c r="I174" s="207">
        <v>3.2</v>
      </c>
      <c r="J174" s="30">
        <v>129.29</v>
      </c>
      <c r="K174" s="59">
        <f>I174*97.36*1.101</f>
        <v>343.018752</v>
      </c>
      <c r="L174" s="369">
        <f t="shared" si="17"/>
        <v>404.76212735999997</v>
      </c>
      <c r="M174" s="34">
        <f>M175+M176+M177</f>
        <v>1850.1021000000005</v>
      </c>
      <c r="N174" s="75">
        <f t="shared" si="18"/>
        <v>2183.1204780000003</v>
      </c>
    </row>
    <row r="175" spans="1:14" ht="12.75">
      <c r="A175" s="182"/>
      <c r="B175" s="196" t="s">
        <v>756</v>
      </c>
      <c r="C175" s="8">
        <v>0.3</v>
      </c>
      <c r="D175" s="18">
        <v>29.84</v>
      </c>
      <c r="E175" s="57">
        <f t="shared" si="14"/>
        <v>32.158007999999995</v>
      </c>
      <c r="F175" s="50">
        <f t="shared" si="16"/>
        <v>37.946449439999995</v>
      </c>
      <c r="G175" s="82">
        <f t="shared" si="19"/>
        <v>42.52896557999998</v>
      </c>
      <c r="H175" s="80">
        <f t="shared" si="20"/>
        <v>50.184179384399975</v>
      </c>
      <c r="I175" s="74">
        <v>0.4</v>
      </c>
      <c r="J175" s="18">
        <v>29.84</v>
      </c>
      <c r="K175" s="57">
        <f t="shared" si="15"/>
        <v>42.877344</v>
      </c>
      <c r="L175" s="369">
        <f t="shared" si="17"/>
        <v>50.595265919999996</v>
      </c>
      <c r="M175" s="82">
        <f>63.71*1.1*3*1.1</f>
        <v>231.2673</v>
      </c>
      <c r="N175" s="194">
        <f t="shared" si="18"/>
        <v>272.895414</v>
      </c>
    </row>
    <row r="176" spans="1:14" ht="12.75">
      <c r="A176" s="182"/>
      <c r="B176" s="196" t="s">
        <v>754</v>
      </c>
      <c r="C176" s="8">
        <v>0.8</v>
      </c>
      <c r="D176" s="18">
        <v>79.56</v>
      </c>
      <c r="E176" s="57">
        <f t="shared" si="14"/>
        <v>85.754688</v>
      </c>
      <c r="F176" s="50">
        <f t="shared" si="16"/>
        <v>101.19053183999999</v>
      </c>
      <c r="G176" s="82">
        <f t="shared" si="19"/>
        <v>113.41057487999998</v>
      </c>
      <c r="H176" s="80">
        <f t="shared" si="20"/>
        <v>133.82447835839997</v>
      </c>
      <c r="I176" s="74">
        <v>1.4</v>
      </c>
      <c r="J176" s="18">
        <v>79.56</v>
      </c>
      <c r="K176" s="57">
        <f t="shared" si="15"/>
        <v>150.070704</v>
      </c>
      <c r="L176" s="369">
        <f t="shared" si="17"/>
        <v>177.08343072</v>
      </c>
      <c r="M176" s="80">
        <f>222.98*1.1*3*1.1</f>
        <v>809.4174000000002</v>
      </c>
      <c r="N176" s="194">
        <f t="shared" si="18"/>
        <v>955.1125320000001</v>
      </c>
    </row>
    <row r="177" spans="1:14" ht="12.75">
      <c r="A177" s="182"/>
      <c r="B177" s="126" t="s">
        <v>760</v>
      </c>
      <c r="C177" s="8" t="s">
        <v>2381</v>
      </c>
      <c r="D177" s="18" t="s">
        <v>2382</v>
      </c>
      <c r="E177" s="57">
        <f t="shared" si="14"/>
        <v>21.438672</v>
      </c>
      <c r="F177" s="50">
        <f t="shared" si="16"/>
        <v>25.297632959999998</v>
      </c>
      <c r="G177" s="82">
        <f t="shared" si="19"/>
        <v>28.352643719999996</v>
      </c>
      <c r="H177" s="80">
        <f t="shared" si="20"/>
        <v>33.45611958959999</v>
      </c>
      <c r="I177" s="74">
        <v>1.4</v>
      </c>
      <c r="J177" s="18" t="s">
        <v>2382</v>
      </c>
      <c r="K177" s="57">
        <f t="shared" si="15"/>
        <v>150.070704</v>
      </c>
      <c r="L177" s="369">
        <f t="shared" si="17"/>
        <v>177.08343072</v>
      </c>
      <c r="M177" s="80">
        <f>222.98*1.1*3*1.1</f>
        <v>809.4174000000002</v>
      </c>
      <c r="N177" s="194">
        <f t="shared" si="18"/>
        <v>955.1125320000001</v>
      </c>
    </row>
    <row r="178" spans="1:14" s="3" customFormat="1" ht="12.75">
      <c r="A178" s="432" t="s">
        <v>282</v>
      </c>
      <c r="B178" s="123" t="s">
        <v>728</v>
      </c>
      <c r="C178" s="14" t="s">
        <v>729</v>
      </c>
      <c r="D178" s="30" t="s">
        <v>730</v>
      </c>
      <c r="E178" s="59">
        <f t="shared" si="14"/>
        <v>329.0836152</v>
      </c>
      <c r="F178" s="50">
        <f t="shared" si="16"/>
        <v>388.318665936</v>
      </c>
      <c r="G178" s="34">
        <f t="shared" si="19"/>
        <v>435.21308110199993</v>
      </c>
      <c r="H178" s="19">
        <f t="shared" si="20"/>
        <v>513.5514357003599</v>
      </c>
      <c r="I178" s="207" t="s">
        <v>729</v>
      </c>
      <c r="J178" s="30" t="s">
        <v>730</v>
      </c>
      <c r="K178" s="59">
        <f t="shared" si="15"/>
        <v>329.0836152</v>
      </c>
      <c r="L178" s="369">
        <f t="shared" si="17"/>
        <v>388.318665936</v>
      </c>
      <c r="M178" s="34">
        <f>M179+M180+M181</f>
        <v>1774.9248000000002</v>
      </c>
      <c r="N178" s="75">
        <f t="shared" si="18"/>
        <v>2094.4112640000003</v>
      </c>
    </row>
    <row r="179" spans="1:14" ht="12.75">
      <c r="A179" s="182"/>
      <c r="B179" s="126" t="s">
        <v>731</v>
      </c>
      <c r="C179" s="8" t="s">
        <v>732</v>
      </c>
      <c r="D179" s="18" t="s">
        <v>733</v>
      </c>
      <c r="E179" s="57">
        <f t="shared" si="14"/>
        <v>91.114356</v>
      </c>
      <c r="F179" s="50">
        <f t="shared" si="16"/>
        <v>107.51494008</v>
      </c>
      <c r="G179" s="82">
        <f t="shared" si="19"/>
        <v>120.49873580999999</v>
      </c>
      <c r="H179" s="80">
        <f t="shared" si="20"/>
        <v>142.18850825579997</v>
      </c>
      <c r="I179" s="74" t="s">
        <v>732</v>
      </c>
      <c r="J179" s="18" t="s">
        <v>733</v>
      </c>
      <c r="K179" s="57">
        <f t="shared" si="15"/>
        <v>91.114356</v>
      </c>
      <c r="L179" s="369">
        <f t="shared" si="17"/>
        <v>107.51494008</v>
      </c>
      <c r="M179" s="82">
        <f>135.38*1.1*3*1.1</f>
        <v>491.42940000000004</v>
      </c>
      <c r="N179" s="194">
        <f t="shared" si="18"/>
        <v>579.886692</v>
      </c>
    </row>
    <row r="180" spans="1:14" ht="12.75">
      <c r="A180" s="182"/>
      <c r="B180" s="126" t="s">
        <v>734</v>
      </c>
      <c r="C180" s="8" t="s">
        <v>2371</v>
      </c>
      <c r="D180" s="18" t="s">
        <v>735</v>
      </c>
      <c r="E180" s="57">
        <f t="shared" si="14"/>
        <v>85.754688</v>
      </c>
      <c r="F180" s="50">
        <f t="shared" si="16"/>
        <v>101.19053183999999</v>
      </c>
      <c r="G180" s="82">
        <f t="shared" si="19"/>
        <v>113.41057487999998</v>
      </c>
      <c r="H180" s="80">
        <f t="shared" si="20"/>
        <v>133.82447835839997</v>
      </c>
      <c r="I180" s="74" t="s">
        <v>2371</v>
      </c>
      <c r="J180" s="18" t="s">
        <v>735</v>
      </c>
      <c r="K180" s="57">
        <f t="shared" si="15"/>
        <v>85.754688</v>
      </c>
      <c r="L180" s="369">
        <f t="shared" si="17"/>
        <v>101.19053183999999</v>
      </c>
      <c r="M180" s="82">
        <f>127.42*1.1*3*1.1</f>
        <v>462.5346</v>
      </c>
      <c r="N180" s="194">
        <f t="shared" si="18"/>
        <v>545.790828</v>
      </c>
    </row>
    <row r="181" spans="1:14" ht="12.75">
      <c r="A181" s="182"/>
      <c r="B181" s="126" t="s">
        <v>736</v>
      </c>
      <c r="C181" s="8" t="s">
        <v>737</v>
      </c>
      <c r="D181" s="18" t="s">
        <v>738</v>
      </c>
      <c r="E181" s="57">
        <f t="shared" si="14"/>
        <v>152.21457119999997</v>
      </c>
      <c r="F181" s="50">
        <f t="shared" si="16"/>
        <v>179.61319401599994</v>
      </c>
      <c r="G181" s="82">
        <f t="shared" si="19"/>
        <v>201.30377041199992</v>
      </c>
      <c r="H181" s="80">
        <f t="shared" si="20"/>
        <v>237.5384490861599</v>
      </c>
      <c r="I181" s="74" t="s">
        <v>737</v>
      </c>
      <c r="J181" s="18" t="s">
        <v>738</v>
      </c>
      <c r="K181" s="57">
        <f t="shared" si="15"/>
        <v>152.21457119999997</v>
      </c>
      <c r="L181" s="369">
        <f t="shared" si="17"/>
        <v>179.61319401599994</v>
      </c>
      <c r="M181" s="82">
        <f>226.16*1.1*3*1.1</f>
        <v>820.9608000000001</v>
      </c>
      <c r="N181" s="194">
        <f t="shared" si="18"/>
        <v>968.733744</v>
      </c>
    </row>
    <row r="182" spans="1:14" s="3" customFormat="1" ht="12.75">
      <c r="A182" s="432" t="s">
        <v>283</v>
      </c>
      <c r="B182" s="123" t="s">
        <v>1826</v>
      </c>
      <c r="C182" s="14" t="s">
        <v>729</v>
      </c>
      <c r="D182" s="30" t="s">
        <v>730</v>
      </c>
      <c r="E182" s="59">
        <f t="shared" si="14"/>
        <v>329.0836152</v>
      </c>
      <c r="F182" s="50">
        <f t="shared" si="16"/>
        <v>388.318665936</v>
      </c>
      <c r="G182" s="34">
        <f t="shared" si="19"/>
        <v>435.21308110199993</v>
      </c>
      <c r="H182" s="19">
        <f t="shared" si="20"/>
        <v>513.5514357003599</v>
      </c>
      <c r="I182" s="207" t="s">
        <v>729</v>
      </c>
      <c r="J182" s="30" t="s">
        <v>730</v>
      </c>
      <c r="K182" s="59">
        <f t="shared" si="15"/>
        <v>329.0836152</v>
      </c>
      <c r="L182" s="369">
        <f t="shared" si="17"/>
        <v>388.318665936</v>
      </c>
      <c r="M182" s="34">
        <f>M183+M184+M185</f>
        <v>1774.9248000000002</v>
      </c>
      <c r="N182" s="75">
        <f t="shared" si="18"/>
        <v>2094.4112640000003</v>
      </c>
    </row>
    <row r="183" spans="1:14" ht="12.75">
      <c r="A183" s="182"/>
      <c r="B183" s="126" t="s">
        <v>731</v>
      </c>
      <c r="C183" s="8" t="s">
        <v>732</v>
      </c>
      <c r="D183" s="18" t="s">
        <v>733</v>
      </c>
      <c r="E183" s="57">
        <f t="shared" si="14"/>
        <v>91.114356</v>
      </c>
      <c r="F183" s="50">
        <f t="shared" si="16"/>
        <v>107.51494008</v>
      </c>
      <c r="G183" s="82">
        <f t="shared" si="19"/>
        <v>120.49873580999999</v>
      </c>
      <c r="H183" s="80">
        <f t="shared" si="20"/>
        <v>142.18850825579997</v>
      </c>
      <c r="I183" s="74" t="s">
        <v>732</v>
      </c>
      <c r="J183" s="18" t="s">
        <v>733</v>
      </c>
      <c r="K183" s="57">
        <f aca="true" t="shared" si="21" ref="K183:K195">I183*97.36*1.101</f>
        <v>91.114356</v>
      </c>
      <c r="L183" s="369">
        <f t="shared" si="17"/>
        <v>107.51494008</v>
      </c>
      <c r="M183" s="82">
        <f>135.38*1.1*3*1.1</f>
        <v>491.42940000000004</v>
      </c>
      <c r="N183" s="194">
        <f t="shared" si="18"/>
        <v>579.886692</v>
      </c>
    </row>
    <row r="184" spans="1:14" ht="12.75">
      <c r="A184" s="182"/>
      <c r="B184" s="126" t="s">
        <v>734</v>
      </c>
      <c r="C184" s="8" t="s">
        <v>2371</v>
      </c>
      <c r="D184" s="18" t="s">
        <v>735</v>
      </c>
      <c r="E184" s="57">
        <f aca="true" t="shared" si="22" ref="E184:E268">C184*97.36*1.101</f>
        <v>85.754688</v>
      </c>
      <c r="F184" s="50">
        <f t="shared" si="16"/>
        <v>101.19053183999999</v>
      </c>
      <c r="G184" s="82">
        <f t="shared" si="19"/>
        <v>113.41057487999998</v>
      </c>
      <c r="H184" s="80">
        <f t="shared" si="20"/>
        <v>133.82447835839997</v>
      </c>
      <c r="I184" s="74" t="s">
        <v>2371</v>
      </c>
      <c r="J184" s="18" t="s">
        <v>735</v>
      </c>
      <c r="K184" s="57">
        <f t="shared" si="21"/>
        <v>85.754688</v>
      </c>
      <c r="L184" s="369">
        <f t="shared" si="17"/>
        <v>101.19053183999999</v>
      </c>
      <c r="M184" s="82">
        <f>127.42*1.1*3*1.1</f>
        <v>462.5346</v>
      </c>
      <c r="N184" s="194">
        <f t="shared" si="18"/>
        <v>545.790828</v>
      </c>
    </row>
    <row r="185" spans="1:14" ht="12.75">
      <c r="A185" s="182"/>
      <c r="B185" s="126" t="s">
        <v>736</v>
      </c>
      <c r="C185" s="8" t="s">
        <v>737</v>
      </c>
      <c r="D185" s="18" t="s">
        <v>738</v>
      </c>
      <c r="E185" s="57">
        <f t="shared" si="22"/>
        <v>152.21457119999997</v>
      </c>
      <c r="F185" s="50">
        <f t="shared" si="16"/>
        <v>179.61319401599994</v>
      </c>
      <c r="G185" s="82">
        <f t="shared" si="19"/>
        <v>201.30377041199992</v>
      </c>
      <c r="H185" s="80">
        <f t="shared" si="20"/>
        <v>237.5384490861599</v>
      </c>
      <c r="I185" s="74" t="s">
        <v>737</v>
      </c>
      <c r="J185" s="18" t="s">
        <v>738</v>
      </c>
      <c r="K185" s="57">
        <f t="shared" si="21"/>
        <v>152.21457119999997</v>
      </c>
      <c r="L185" s="369">
        <f t="shared" si="17"/>
        <v>179.61319401599994</v>
      </c>
      <c r="M185" s="82">
        <f>226.16*1.1*3*1.1</f>
        <v>820.9608000000001</v>
      </c>
      <c r="N185" s="194">
        <f t="shared" si="18"/>
        <v>968.733744</v>
      </c>
    </row>
    <row r="186" spans="1:14" s="3" customFormat="1" ht="12.75">
      <c r="A186" s="432" t="s">
        <v>284</v>
      </c>
      <c r="B186" s="123" t="s">
        <v>739</v>
      </c>
      <c r="C186" s="14" t="s">
        <v>2388</v>
      </c>
      <c r="D186" s="30" t="s">
        <v>2389</v>
      </c>
      <c r="E186" s="59">
        <f t="shared" si="22"/>
        <v>385.89609599999994</v>
      </c>
      <c r="F186" s="50">
        <f t="shared" si="16"/>
        <v>455.3573932799999</v>
      </c>
      <c r="G186" s="34">
        <f t="shared" si="19"/>
        <v>510.3475869599999</v>
      </c>
      <c r="H186" s="19">
        <f t="shared" si="20"/>
        <v>602.2101526127998</v>
      </c>
      <c r="I186" s="207" t="s">
        <v>2388</v>
      </c>
      <c r="J186" s="30" t="s">
        <v>2389</v>
      </c>
      <c r="K186" s="59">
        <f t="shared" si="21"/>
        <v>385.89609599999994</v>
      </c>
      <c r="L186" s="369">
        <f t="shared" si="17"/>
        <v>455.3573932799999</v>
      </c>
      <c r="M186" s="34">
        <f>M187+M188+M189</f>
        <v>2081.3331000000003</v>
      </c>
      <c r="N186" s="75">
        <f t="shared" si="18"/>
        <v>2455.973058</v>
      </c>
    </row>
    <row r="187" spans="1:14" ht="12.75">
      <c r="A187" s="182"/>
      <c r="B187" s="126" t="s">
        <v>731</v>
      </c>
      <c r="C187" s="8" t="s">
        <v>2590</v>
      </c>
      <c r="D187" s="18" t="s">
        <v>2591</v>
      </c>
      <c r="E187" s="57">
        <f t="shared" si="22"/>
        <v>42.877344</v>
      </c>
      <c r="F187" s="50">
        <f t="shared" si="16"/>
        <v>50.595265919999996</v>
      </c>
      <c r="G187" s="82">
        <f t="shared" si="19"/>
        <v>56.70528743999999</v>
      </c>
      <c r="H187" s="80">
        <f t="shared" si="20"/>
        <v>66.91223917919999</v>
      </c>
      <c r="I187" s="74" t="s">
        <v>2590</v>
      </c>
      <c r="J187" s="18" t="s">
        <v>2591</v>
      </c>
      <c r="K187" s="57">
        <f t="shared" si="21"/>
        <v>42.877344</v>
      </c>
      <c r="L187" s="369">
        <f t="shared" si="17"/>
        <v>50.595265919999996</v>
      </c>
      <c r="M187" s="82">
        <f>63.71*1.1*3*1.1</f>
        <v>231.2673</v>
      </c>
      <c r="N187" s="194">
        <f t="shared" si="18"/>
        <v>272.895414</v>
      </c>
    </row>
    <row r="188" spans="1:14" ht="12.75">
      <c r="A188" s="182"/>
      <c r="B188" s="126" t="s">
        <v>734</v>
      </c>
      <c r="C188" s="8" t="s">
        <v>438</v>
      </c>
      <c r="D188" s="18" t="s">
        <v>1678</v>
      </c>
      <c r="E188" s="57">
        <f t="shared" si="22"/>
        <v>139.351368</v>
      </c>
      <c r="F188" s="50">
        <f t="shared" si="16"/>
        <v>164.43461424</v>
      </c>
      <c r="G188" s="82">
        <f t="shared" si="19"/>
        <v>184.29218417999996</v>
      </c>
      <c r="H188" s="80">
        <f t="shared" si="20"/>
        <v>217.46477733239993</v>
      </c>
      <c r="I188" s="74" t="s">
        <v>438</v>
      </c>
      <c r="J188" s="18" t="s">
        <v>1678</v>
      </c>
      <c r="K188" s="57">
        <f t="shared" si="21"/>
        <v>139.351368</v>
      </c>
      <c r="L188" s="369">
        <f t="shared" si="17"/>
        <v>164.43461424</v>
      </c>
      <c r="M188" s="82">
        <f>207.05*1.1*3*1.1</f>
        <v>751.5915000000002</v>
      </c>
      <c r="N188" s="194">
        <f t="shared" si="18"/>
        <v>886.8779700000002</v>
      </c>
    </row>
    <row r="189" spans="1:14" ht="12.75">
      <c r="A189" s="182"/>
      <c r="B189" s="126" t="s">
        <v>736</v>
      </c>
      <c r="C189" s="9">
        <f>D189/99.45</f>
        <v>1.900050276520865</v>
      </c>
      <c r="D189" s="18" t="s">
        <v>740</v>
      </c>
      <c r="E189" s="57">
        <f t="shared" si="22"/>
        <v>203.6727733092006</v>
      </c>
      <c r="F189" s="50">
        <f t="shared" si="16"/>
        <v>240.3338725048567</v>
      </c>
      <c r="G189" s="82">
        <f t="shared" si="19"/>
        <v>269.35724270141776</v>
      </c>
      <c r="H189" s="80">
        <f t="shared" si="20"/>
        <v>317.84154638767296</v>
      </c>
      <c r="I189" s="74">
        <f>J189/99.45</f>
        <v>1.900050276520865</v>
      </c>
      <c r="J189" s="18" t="s">
        <v>740</v>
      </c>
      <c r="K189" s="57">
        <f t="shared" si="21"/>
        <v>203.6727733092006</v>
      </c>
      <c r="L189" s="369">
        <f t="shared" si="17"/>
        <v>240.3338725048567</v>
      </c>
      <c r="M189" s="82">
        <f>302.61*1.1*3*1.1</f>
        <v>1098.4743</v>
      </c>
      <c r="N189" s="194">
        <f t="shared" si="18"/>
        <v>1296.199674</v>
      </c>
    </row>
    <row r="190" spans="1:14" s="3" customFormat="1" ht="12.75">
      <c r="A190" s="432" t="s">
        <v>285</v>
      </c>
      <c r="B190" s="123" t="s">
        <v>700</v>
      </c>
      <c r="C190" s="14" t="s">
        <v>741</v>
      </c>
      <c r="D190" s="30" t="s">
        <v>2261</v>
      </c>
      <c r="E190" s="59">
        <f t="shared" si="22"/>
        <v>348.37842</v>
      </c>
      <c r="F190" s="50">
        <f t="shared" si="16"/>
        <v>411.0865356</v>
      </c>
      <c r="G190" s="34">
        <f t="shared" si="19"/>
        <v>460.73046044999995</v>
      </c>
      <c r="H190" s="19">
        <f t="shared" si="20"/>
        <v>543.6619433309999</v>
      </c>
      <c r="I190" s="207" t="s">
        <v>741</v>
      </c>
      <c r="J190" s="30" t="s">
        <v>2261</v>
      </c>
      <c r="K190" s="59">
        <f t="shared" si="21"/>
        <v>348.37842</v>
      </c>
      <c r="L190" s="369">
        <f t="shared" si="17"/>
        <v>411.0865356</v>
      </c>
      <c r="M190" s="34">
        <f>M191+M192+M193</f>
        <v>1878.9969</v>
      </c>
      <c r="N190" s="75">
        <f t="shared" si="18"/>
        <v>2217.216342</v>
      </c>
    </row>
    <row r="191" spans="1:14" ht="12.75">
      <c r="A191" s="201"/>
      <c r="B191" s="126" t="s">
        <v>731</v>
      </c>
      <c r="C191" s="8" t="s">
        <v>2500</v>
      </c>
      <c r="D191" s="18" t="s">
        <v>1456</v>
      </c>
      <c r="E191" s="57">
        <f t="shared" si="22"/>
        <v>32.158007999999995</v>
      </c>
      <c r="F191" s="50">
        <f t="shared" si="16"/>
        <v>37.946449439999995</v>
      </c>
      <c r="G191" s="82">
        <f t="shared" si="19"/>
        <v>42.52896557999998</v>
      </c>
      <c r="H191" s="80">
        <f t="shared" si="20"/>
        <v>50.184179384399975</v>
      </c>
      <c r="I191" s="74">
        <v>0.3</v>
      </c>
      <c r="J191" s="18" t="s">
        <v>1456</v>
      </c>
      <c r="K191" s="57">
        <f t="shared" si="21"/>
        <v>32.158007999999995</v>
      </c>
      <c r="L191" s="369">
        <f t="shared" si="17"/>
        <v>37.946449439999995</v>
      </c>
      <c r="M191" s="82">
        <f>47.78*1.1*3*1.1</f>
        <v>173.44140000000004</v>
      </c>
      <c r="N191" s="194">
        <f t="shared" si="18"/>
        <v>204.66085200000003</v>
      </c>
    </row>
    <row r="192" spans="1:14" ht="12.75">
      <c r="A192" s="183"/>
      <c r="B192" s="126" t="s">
        <v>734</v>
      </c>
      <c r="C192" s="8" t="s">
        <v>1627</v>
      </c>
      <c r="D192" s="18" t="s">
        <v>1628</v>
      </c>
      <c r="E192" s="57">
        <f t="shared" si="22"/>
        <v>80.39501999999999</v>
      </c>
      <c r="F192" s="50">
        <f t="shared" si="16"/>
        <v>94.86612359999998</v>
      </c>
      <c r="G192" s="82">
        <f t="shared" si="19"/>
        <v>106.32241394999996</v>
      </c>
      <c r="H192" s="80">
        <f t="shared" si="20"/>
        <v>125.46044846099994</v>
      </c>
      <c r="I192" s="74" t="s">
        <v>1627</v>
      </c>
      <c r="J192" s="18" t="s">
        <v>1628</v>
      </c>
      <c r="K192" s="57">
        <f t="shared" si="21"/>
        <v>80.39501999999999</v>
      </c>
      <c r="L192" s="369">
        <f t="shared" si="17"/>
        <v>94.86612359999998</v>
      </c>
      <c r="M192" s="82">
        <f>119.45*1.1*3*1.1</f>
        <v>433.6035000000001</v>
      </c>
      <c r="N192" s="194">
        <f t="shared" si="18"/>
        <v>511.6521300000001</v>
      </c>
    </row>
    <row r="193" spans="1:14" ht="12.75">
      <c r="A193" s="183"/>
      <c r="B193" s="126" t="s">
        <v>736</v>
      </c>
      <c r="C193" s="8" t="s">
        <v>1692</v>
      </c>
      <c r="D193" s="18" t="s">
        <v>1693</v>
      </c>
      <c r="E193" s="57">
        <f t="shared" si="22"/>
        <v>235.825392</v>
      </c>
      <c r="F193" s="50">
        <f t="shared" si="16"/>
        <v>278.27396256</v>
      </c>
      <c r="G193" s="82">
        <f t="shared" si="19"/>
        <v>311.8790809199999</v>
      </c>
      <c r="H193" s="80">
        <f t="shared" si="20"/>
        <v>368.0173154855999</v>
      </c>
      <c r="I193" s="74" t="s">
        <v>1692</v>
      </c>
      <c r="J193" s="18" t="s">
        <v>1693</v>
      </c>
      <c r="K193" s="57">
        <f t="shared" si="21"/>
        <v>235.825392</v>
      </c>
      <c r="L193" s="369">
        <f t="shared" si="17"/>
        <v>278.27396256</v>
      </c>
      <c r="M193" s="80">
        <f>350.4*1.1*3*1.1</f>
        <v>1271.952</v>
      </c>
      <c r="N193" s="194">
        <f t="shared" si="18"/>
        <v>1500.90336</v>
      </c>
    </row>
    <row r="194" spans="1:14" s="364" customFormat="1" ht="12.75">
      <c r="A194" s="685" t="s">
        <v>286</v>
      </c>
      <c r="B194" s="686" t="s">
        <v>2262</v>
      </c>
      <c r="C194" s="427" t="s">
        <v>2263</v>
      </c>
      <c r="D194" s="646" t="s">
        <v>2264</v>
      </c>
      <c r="E194" s="687">
        <f t="shared" si="22"/>
        <v>418.054104</v>
      </c>
      <c r="F194" s="426">
        <f t="shared" si="16"/>
        <v>493.30384272</v>
      </c>
      <c r="G194" s="400">
        <f t="shared" si="19"/>
        <v>552.8765525399999</v>
      </c>
      <c r="H194" s="363">
        <f t="shared" si="20"/>
        <v>652.3943319971999</v>
      </c>
      <c r="I194" s="688" t="s">
        <v>2263</v>
      </c>
      <c r="J194" s="646" t="s">
        <v>2264</v>
      </c>
      <c r="K194" s="687">
        <f t="shared" si="21"/>
        <v>418.054104</v>
      </c>
      <c r="L194" s="426">
        <f t="shared" si="17"/>
        <v>493.30384272</v>
      </c>
      <c r="M194" s="400">
        <f>621.16*1.1*1.1</f>
        <v>751.6036000000001</v>
      </c>
      <c r="N194" s="366">
        <f t="shared" si="18"/>
        <v>886.8922480000001</v>
      </c>
    </row>
    <row r="195" spans="1:14" s="364" customFormat="1" ht="12.75">
      <c r="A195" s="689" t="s">
        <v>287</v>
      </c>
      <c r="B195" s="686" t="s">
        <v>2265</v>
      </c>
      <c r="C195" s="427" t="s">
        <v>2266</v>
      </c>
      <c r="D195" s="646" t="s">
        <v>2267</v>
      </c>
      <c r="E195" s="687">
        <f t="shared" si="22"/>
        <v>450.21211200000005</v>
      </c>
      <c r="F195" s="426">
        <f t="shared" si="16"/>
        <v>531.2502921600001</v>
      </c>
      <c r="G195" s="400">
        <f t="shared" si="19"/>
        <v>595.40551812</v>
      </c>
      <c r="H195" s="363">
        <f t="shared" si="20"/>
        <v>702.5785113815999</v>
      </c>
      <c r="I195" s="688" t="s">
        <v>2266</v>
      </c>
      <c r="J195" s="646" t="s">
        <v>2267</v>
      </c>
      <c r="K195" s="687">
        <f t="shared" si="21"/>
        <v>450.21211200000005</v>
      </c>
      <c r="L195" s="426">
        <f t="shared" si="17"/>
        <v>531.2502921600001</v>
      </c>
      <c r="M195" s="400">
        <f>668.94*1.1*1.1</f>
        <v>809.4174000000003</v>
      </c>
      <c r="N195" s="366">
        <f t="shared" si="18"/>
        <v>955.1125320000002</v>
      </c>
    </row>
    <row r="196" spans="1:14" s="111" customFormat="1" ht="12.75">
      <c r="A196" s="183" t="s">
        <v>288</v>
      </c>
      <c r="B196" s="198" t="s">
        <v>2285</v>
      </c>
      <c r="C196" s="115"/>
      <c r="D196" s="116"/>
      <c r="E196" s="59"/>
      <c r="F196" s="32"/>
      <c r="G196" s="80"/>
      <c r="H196" s="19"/>
      <c r="I196" s="209">
        <v>4.7</v>
      </c>
      <c r="J196" s="116"/>
      <c r="K196" s="59"/>
      <c r="L196" s="32"/>
      <c r="M196" s="80">
        <f>935.72*1.1*3*1.1</f>
        <v>3396.6636000000003</v>
      </c>
      <c r="N196" s="75">
        <f t="shared" si="18"/>
        <v>4008.063048</v>
      </c>
    </row>
    <row r="197" spans="1:14" s="111" customFormat="1" ht="12.75">
      <c r="A197" s="183" t="s">
        <v>289</v>
      </c>
      <c r="B197" s="198" t="s">
        <v>2287</v>
      </c>
      <c r="C197" s="115"/>
      <c r="D197" s="116"/>
      <c r="E197" s="59"/>
      <c r="F197" s="32"/>
      <c r="G197" s="80"/>
      <c r="H197" s="19"/>
      <c r="I197" s="209">
        <v>4.7</v>
      </c>
      <c r="J197" s="116"/>
      <c r="K197" s="59"/>
      <c r="L197" s="32"/>
      <c r="M197" s="80">
        <f>935.72*1.1*3*1.1</f>
        <v>3396.6636000000003</v>
      </c>
      <c r="N197" s="75">
        <f t="shared" si="18"/>
        <v>4008.063048</v>
      </c>
    </row>
    <row r="198" spans="1:14" s="111" customFormat="1" ht="25.5">
      <c r="A198" s="183" t="s">
        <v>290</v>
      </c>
      <c r="B198" s="198" t="s">
        <v>2288</v>
      </c>
      <c r="C198" s="115"/>
      <c r="D198" s="116"/>
      <c r="E198" s="59"/>
      <c r="F198" s="32"/>
      <c r="G198" s="80"/>
      <c r="H198" s="19"/>
      <c r="I198" s="209">
        <v>4.7</v>
      </c>
      <c r="J198" s="261"/>
      <c r="K198" s="262"/>
      <c r="L198" s="263"/>
      <c r="M198" s="80">
        <f>935.72*1.1*3*1.1</f>
        <v>3396.6636000000003</v>
      </c>
      <c r="N198" s="75">
        <f t="shared" si="18"/>
        <v>4008.063048</v>
      </c>
    </row>
    <row r="199" spans="1:14" s="111" customFormat="1" ht="12.75">
      <c r="A199" s="353" t="s">
        <v>2656</v>
      </c>
      <c r="B199" s="350" t="s">
        <v>2655</v>
      </c>
      <c r="C199" s="351"/>
      <c r="D199" s="352"/>
      <c r="E199" s="260"/>
      <c r="F199" s="258"/>
      <c r="G199" s="259"/>
      <c r="H199" s="243"/>
      <c r="I199" s="209">
        <v>3.5</v>
      </c>
      <c r="J199" s="116"/>
      <c r="K199" s="59"/>
      <c r="L199" s="32"/>
      <c r="M199" s="80">
        <f>613.2*1.1*3*1.1</f>
        <v>2225.9160000000006</v>
      </c>
      <c r="N199" s="19">
        <f t="shared" si="18"/>
        <v>2626.5808800000004</v>
      </c>
    </row>
    <row r="200" spans="1:14" s="111" customFormat="1" ht="12.75">
      <c r="A200" s="353" t="s">
        <v>2864</v>
      </c>
      <c r="B200" s="355" t="s">
        <v>2832</v>
      </c>
      <c r="C200" s="354"/>
      <c r="D200" s="116"/>
      <c r="E200" s="59"/>
      <c r="F200" s="32"/>
      <c r="G200" s="80"/>
      <c r="H200" s="19"/>
      <c r="I200" s="209">
        <v>3.5</v>
      </c>
      <c r="J200" s="116"/>
      <c r="K200" s="59"/>
      <c r="L200" s="32"/>
      <c r="M200" s="80">
        <f>613.2*1.1*3*1.1</f>
        <v>2225.9160000000006</v>
      </c>
      <c r="N200" s="19">
        <f t="shared" si="18"/>
        <v>2626.5808800000004</v>
      </c>
    </row>
    <row r="201" spans="1:14" s="111" customFormat="1" ht="12.75">
      <c r="A201" s="353" t="s">
        <v>2865</v>
      </c>
      <c r="B201" s="355" t="s">
        <v>2833</v>
      </c>
      <c r="C201" s="354"/>
      <c r="D201" s="116"/>
      <c r="E201" s="59"/>
      <c r="F201" s="32"/>
      <c r="G201" s="80"/>
      <c r="H201" s="19"/>
      <c r="I201" s="209">
        <v>3.5</v>
      </c>
      <c r="J201" s="116"/>
      <c r="K201" s="59"/>
      <c r="L201" s="32"/>
      <c r="M201" s="80">
        <f>613.2*1.1*3*1.1</f>
        <v>2225.9160000000006</v>
      </c>
      <c r="N201" s="19">
        <f t="shared" si="18"/>
        <v>2626.5808800000004</v>
      </c>
    </row>
    <row r="202" spans="1:14" s="111" customFormat="1" ht="12.75">
      <c r="A202" s="353" t="s">
        <v>2866</v>
      </c>
      <c r="B202" s="355" t="s">
        <v>2834</v>
      </c>
      <c r="C202" s="354"/>
      <c r="D202" s="116"/>
      <c r="E202" s="59"/>
      <c r="F202" s="32"/>
      <c r="G202" s="80"/>
      <c r="H202" s="19"/>
      <c r="I202" s="209">
        <v>3.5</v>
      </c>
      <c r="J202" s="116"/>
      <c r="K202" s="59"/>
      <c r="L202" s="32"/>
      <c r="M202" s="80">
        <f>613.2*1.1*3*1.1</f>
        <v>2225.9160000000006</v>
      </c>
      <c r="N202" s="19">
        <f t="shared" si="18"/>
        <v>2626.5808800000004</v>
      </c>
    </row>
    <row r="203" spans="1:14" s="111" customFormat="1" ht="51">
      <c r="A203" s="353" t="s">
        <v>2867</v>
      </c>
      <c r="B203" s="355" t="s">
        <v>2860</v>
      </c>
      <c r="C203" s="354"/>
      <c r="D203" s="116"/>
      <c r="E203" s="59"/>
      <c r="F203" s="32"/>
      <c r="G203" s="80"/>
      <c r="H203" s="19"/>
      <c r="I203" s="209">
        <v>6.5</v>
      </c>
      <c r="J203" s="116"/>
      <c r="K203" s="59"/>
      <c r="L203" s="32"/>
      <c r="M203" s="80">
        <f>1138.79*1.1*3*1.1</f>
        <v>4133.807700000001</v>
      </c>
      <c r="N203" s="19">
        <f t="shared" si="18"/>
        <v>4877.893086000001</v>
      </c>
    </row>
    <row r="204" spans="1:14" s="111" customFormat="1" ht="12.75">
      <c r="A204" s="353" t="s">
        <v>2868</v>
      </c>
      <c r="B204" s="355" t="s">
        <v>2836</v>
      </c>
      <c r="C204" s="354"/>
      <c r="D204" s="116"/>
      <c r="E204" s="59"/>
      <c r="F204" s="32"/>
      <c r="G204" s="80"/>
      <c r="H204" s="19"/>
      <c r="I204" s="209">
        <v>3.5</v>
      </c>
      <c r="J204" s="116"/>
      <c r="K204" s="59"/>
      <c r="L204" s="32"/>
      <c r="M204" s="80">
        <f>613.2*1.1*3*1.1</f>
        <v>2225.9160000000006</v>
      </c>
      <c r="N204" s="19">
        <f>M204*1.18</f>
        <v>2626.5808800000004</v>
      </c>
    </row>
    <row r="205" spans="1:14" s="111" customFormat="1" ht="12.75">
      <c r="A205" s="353" t="s">
        <v>2869</v>
      </c>
      <c r="B205" s="355" t="s">
        <v>2837</v>
      </c>
      <c r="C205" s="354"/>
      <c r="D205" s="116"/>
      <c r="E205" s="59"/>
      <c r="F205" s="32"/>
      <c r="G205" s="80"/>
      <c r="H205" s="19"/>
      <c r="I205" s="209">
        <v>3.8</v>
      </c>
      <c r="J205" s="116"/>
      <c r="K205" s="59"/>
      <c r="L205" s="32"/>
      <c r="M205" s="80">
        <f>665.76*1.1*3*1.1</f>
        <v>2416.7088</v>
      </c>
      <c r="N205" s="19">
        <f t="shared" si="18"/>
        <v>2851.716384</v>
      </c>
    </row>
    <row r="206" spans="1:14" s="111" customFormat="1" ht="12.75">
      <c r="A206" s="353" t="s">
        <v>2870</v>
      </c>
      <c r="B206" s="355" t="s">
        <v>2838</v>
      </c>
      <c r="C206" s="354"/>
      <c r="D206" s="116"/>
      <c r="E206" s="59"/>
      <c r="F206" s="32"/>
      <c r="G206" s="80"/>
      <c r="H206" s="19"/>
      <c r="I206" s="209">
        <v>4.1</v>
      </c>
      <c r="J206" s="116"/>
      <c r="K206" s="59"/>
      <c r="L206" s="32"/>
      <c r="M206" s="80">
        <f>718.32*1.1*3*1.1</f>
        <v>2607.501600000001</v>
      </c>
      <c r="N206" s="19">
        <f t="shared" si="18"/>
        <v>3076.851888000001</v>
      </c>
    </row>
    <row r="207" spans="1:14" s="111" customFormat="1" ht="12.75">
      <c r="A207" s="353" t="s">
        <v>2871</v>
      </c>
      <c r="B207" s="355" t="s">
        <v>2839</v>
      </c>
      <c r="C207" s="354"/>
      <c r="D207" s="116"/>
      <c r="E207" s="59"/>
      <c r="F207" s="32"/>
      <c r="G207" s="80"/>
      <c r="H207" s="19"/>
      <c r="I207" s="209">
        <v>4.4</v>
      </c>
      <c r="J207" s="116"/>
      <c r="K207" s="59"/>
      <c r="L207" s="32"/>
      <c r="M207" s="80">
        <f>770.88*1.1*3*1.1</f>
        <v>2798.2944000000007</v>
      </c>
      <c r="N207" s="19">
        <f t="shared" si="18"/>
        <v>3301.9873920000005</v>
      </c>
    </row>
    <row r="208" spans="1:14" s="111" customFormat="1" ht="12.75">
      <c r="A208" s="353" t="s">
        <v>2872</v>
      </c>
      <c r="B208" s="355" t="s">
        <v>2840</v>
      </c>
      <c r="C208" s="354"/>
      <c r="D208" s="116"/>
      <c r="E208" s="59"/>
      <c r="F208" s="32"/>
      <c r="G208" s="80"/>
      <c r="H208" s="19"/>
      <c r="I208" s="209">
        <v>4.7</v>
      </c>
      <c r="J208" s="116"/>
      <c r="K208" s="59"/>
      <c r="L208" s="32"/>
      <c r="M208" s="80">
        <f>823.44*1.1*3*1.1</f>
        <v>2989.0872000000004</v>
      </c>
      <c r="N208" s="19">
        <f t="shared" si="18"/>
        <v>3527.1228960000003</v>
      </c>
    </row>
    <row r="209" spans="1:14" s="111" customFormat="1" ht="12.75">
      <c r="A209" s="353" t="s">
        <v>2873</v>
      </c>
      <c r="B209" s="355" t="s">
        <v>2841</v>
      </c>
      <c r="C209" s="354"/>
      <c r="D209" s="116"/>
      <c r="E209" s="59"/>
      <c r="F209" s="32"/>
      <c r="G209" s="80"/>
      <c r="H209" s="19"/>
      <c r="I209" s="209">
        <v>5</v>
      </c>
      <c r="J209" s="116"/>
      <c r="K209" s="59"/>
      <c r="L209" s="32"/>
      <c r="M209" s="80">
        <f>876*1.1*3*1.1</f>
        <v>3179.8800000000006</v>
      </c>
      <c r="N209" s="19">
        <f t="shared" si="18"/>
        <v>3752.2584000000006</v>
      </c>
    </row>
    <row r="210" spans="1:14" s="111" customFormat="1" ht="12.75">
      <c r="A210" s="353" t="s">
        <v>2874</v>
      </c>
      <c r="B210" s="355" t="s">
        <v>2842</v>
      </c>
      <c r="C210" s="354"/>
      <c r="D210" s="116"/>
      <c r="E210" s="59"/>
      <c r="F210" s="32"/>
      <c r="G210" s="80"/>
      <c r="H210" s="19"/>
      <c r="I210" s="209">
        <v>5.3</v>
      </c>
      <c r="J210" s="116"/>
      <c r="K210" s="59"/>
      <c r="L210" s="32"/>
      <c r="M210" s="80">
        <f>928.55*1.1*3*1.1</f>
        <v>3370.6365000000005</v>
      </c>
      <c r="N210" s="19">
        <f t="shared" si="18"/>
        <v>3977.3510700000006</v>
      </c>
    </row>
    <row r="211" spans="1:14" s="111" customFormat="1" ht="12.75">
      <c r="A211" s="353" t="s">
        <v>2875</v>
      </c>
      <c r="B211" s="355" t="s">
        <v>2843</v>
      </c>
      <c r="C211" s="354"/>
      <c r="D211" s="116"/>
      <c r="E211" s="59"/>
      <c r="F211" s="32"/>
      <c r="G211" s="80"/>
      <c r="H211" s="19"/>
      <c r="I211" s="209">
        <v>5.6</v>
      </c>
      <c r="J211" s="116"/>
      <c r="K211" s="59"/>
      <c r="L211" s="32"/>
      <c r="M211" s="80">
        <f>981.11*1.1*3*1.1</f>
        <v>3561.4293000000002</v>
      </c>
      <c r="N211" s="19">
        <f t="shared" si="18"/>
        <v>4202.4865740000005</v>
      </c>
    </row>
    <row r="212" spans="1:14" s="111" customFormat="1" ht="12.75">
      <c r="A212" s="353" t="s">
        <v>2876</v>
      </c>
      <c r="B212" s="355" t="s">
        <v>2844</v>
      </c>
      <c r="C212" s="354"/>
      <c r="D212" s="116"/>
      <c r="E212" s="59"/>
      <c r="F212" s="32"/>
      <c r="G212" s="80"/>
      <c r="H212" s="19"/>
      <c r="I212" s="209">
        <v>5.9</v>
      </c>
      <c r="J212" s="116"/>
      <c r="K212" s="59"/>
      <c r="L212" s="32"/>
      <c r="M212" s="80">
        <f>1033.67*1.1*3*1.1</f>
        <v>3752.2221000000013</v>
      </c>
      <c r="N212" s="19">
        <f t="shared" si="18"/>
        <v>4427.622078000001</v>
      </c>
    </row>
    <row r="213" spans="1:14" s="111" customFormat="1" ht="25.5">
      <c r="A213" s="353" t="s">
        <v>2877</v>
      </c>
      <c r="B213" s="355" t="s">
        <v>2845</v>
      </c>
      <c r="C213" s="354"/>
      <c r="D213" s="116"/>
      <c r="E213" s="59"/>
      <c r="F213" s="32"/>
      <c r="G213" s="80"/>
      <c r="H213" s="19"/>
      <c r="I213" s="209">
        <v>6.2</v>
      </c>
      <c r="J213" s="116"/>
      <c r="K213" s="59"/>
      <c r="L213" s="32"/>
      <c r="M213" s="80">
        <f>1086.23*1.1*3*1.1</f>
        <v>3943.0149000000006</v>
      </c>
      <c r="N213" s="19">
        <f t="shared" si="18"/>
        <v>4652.757582</v>
      </c>
    </row>
    <row r="214" spans="1:14" s="111" customFormat="1" ht="12.75">
      <c r="A214" s="353" t="s">
        <v>2878</v>
      </c>
      <c r="B214" s="355" t="s">
        <v>2861</v>
      </c>
      <c r="C214" s="354"/>
      <c r="D214" s="116"/>
      <c r="E214" s="59"/>
      <c r="F214" s="32"/>
      <c r="G214" s="80"/>
      <c r="H214" s="19"/>
      <c r="I214" s="209">
        <v>5</v>
      </c>
      <c r="J214" s="116"/>
      <c r="K214" s="59"/>
      <c r="L214" s="32"/>
      <c r="M214" s="80">
        <f>876*1.1*3*1.1</f>
        <v>3179.8800000000006</v>
      </c>
      <c r="N214" s="19">
        <f t="shared" si="18"/>
        <v>3752.2584000000006</v>
      </c>
    </row>
    <row r="215" spans="1:14" s="111" customFormat="1" ht="12.75">
      <c r="A215" s="353" t="s">
        <v>2879</v>
      </c>
      <c r="B215" s="355" t="s">
        <v>2862</v>
      </c>
      <c r="C215" s="354"/>
      <c r="D215" s="116"/>
      <c r="E215" s="59"/>
      <c r="F215" s="32"/>
      <c r="G215" s="80"/>
      <c r="H215" s="19"/>
      <c r="I215" s="209">
        <v>4.9</v>
      </c>
      <c r="J215" s="116"/>
      <c r="K215" s="59"/>
      <c r="L215" s="32"/>
      <c r="M215" s="80">
        <f>858.48*1.1*3*1.1</f>
        <v>3116.2824000000005</v>
      </c>
      <c r="N215" s="19">
        <f t="shared" si="18"/>
        <v>3677.2132320000005</v>
      </c>
    </row>
    <row r="216" spans="1:14" ht="15" customHeight="1">
      <c r="A216" s="564" t="s">
        <v>2609</v>
      </c>
      <c r="B216" s="950" t="s">
        <v>2354</v>
      </c>
      <c r="C216" s="950"/>
      <c r="D216" s="950"/>
      <c r="E216" s="950"/>
      <c r="F216" s="950"/>
      <c r="G216" s="950"/>
      <c r="H216" s="950"/>
      <c r="I216" s="950"/>
      <c r="J216" s="950"/>
      <c r="K216" s="950"/>
      <c r="L216" s="950"/>
      <c r="M216" s="950"/>
      <c r="N216" s="950"/>
    </row>
    <row r="217" spans="1:14" ht="25.5">
      <c r="A217" s="329" t="s">
        <v>2451</v>
      </c>
      <c r="B217" s="28" t="s">
        <v>3278</v>
      </c>
      <c r="C217" s="8" t="s">
        <v>2371</v>
      </c>
      <c r="D217" s="24" t="s">
        <v>2372</v>
      </c>
      <c r="E217" s="57">
        <f t="shared" si="22"/>
        <v>85.754688</v>
      </c>
      <c r="F217" s="32">
        <f t="shared" si="16"/>
        <v>101.19053183999999</v>
      </c>
      <c r="G217" s="80">
        <f t="shared" si="19"/>
        <v>113.41057487999998</v>
      </c>
      <c r="H217" s="19">
        <f t="shared" si="20"/>
        <v>133.82447835839997</v>
      </c>
      <c r="I217" s="74">
        <v>0.8</v>
      </c>
      <c r="J217" s="24" t="s">
        <v>2372</v>
      </c>
      <c r="K217" s="57">
        <f>I217*97.36*1.101</f>
        <v>85.754688</v>
      </c>
      <c r="L217" s="32">
        <f t="shared" si="17"/>
        <v>101.19053183999999</v>
      </c>
      <c r="M217" s="80">
        <f>420*1.1</f>
        <v>462.00000000000006</v>
      </c>
      <c r="N217" s="19">
        <f>M217*1.18</f>
        <v>545.1600000000001</v>
      </c>
    </row>
    <row r="218" spans="1:14" ht="38.25">
      <c r="A218" s="335" t="s">
        <v>2452</v>
      </c>
      <c r="B218" s="255" t="s">
        <v>3557</v>
      </c>
      <c r="C218" s="20"/>
      <c r="D218" s="21"/>
      <c r="E218" s="57"/>
      <c r="F218" s="32"/>
      <c r="G218" s="80"/>
      <c r="H218" s="19"/>
      <c r="I218" s="204"/>
      <c r="J218" s="21"/>
      <c r="K218" s="57"/>
      <c r="L218" s="32"/>
      <c r="M218" s="80"/>
      <c r="N218" s="19"/>
    </row>
    <row r="219" spans="1:14" ht="12.75">
      <c r="A219" s="330" t="s">
        <v>291</v>
      </c>
      <c r="B219" s="255" t="s">
        <v>1518</v>
      </c>
      <c r="C219" s="8" t="s">
        <v>1057</v>
      </c>
      <c r="D219" s="24" t="s">
        <v>1058</v>
      </c>
      <c r="E219" s="57">
        <f t="shared" si="22"/>
        <v>53.59668</v>
      </c>
      <c r="F219" s="32">
        <f t="shared" si="16"/>
        <v>63.244082399999996</v>
      </c>
      <c r="G219" s="80">
        <f t="shared" si="19"/>
        <v>70.88160929999998</v>
      </c>
      <c r="H219" s="19">
        <f t="shared" si="20"/>
        <v>83.64029897399998</v>
      </c>
      <c r="I219" s="74">
        <v>0.8</v>
      </c>
      <c r="J219" s="24" t="s">
        <v>1058</v>
      </c>
      <c r="K219" s="57">
        <f aca="true" t="shared" si="23" ref="K219:K250">I219*97.36*1.101</f>
        <v>85.754688</v>
      </c>
      <c r="L219" s="32">
        <f t="shared" si="17"/>
        <v>101.19053183999999</v>
      </c>
      <c r="M219" s="80">
        <f>420*1.1</f>
        <v>462.00000000000006</v>
      </c>
      <c r="N219" s="19">
        <f t="shared" si="18"/>
        <v>545.1600000000001</v>
      </c>
    </row>
    <row r="220" spans="1:14" ht="12.75">
      <c r="A220" s="330" t="s">
        <v>292</v>
      </c>
      <c r="B220" s="255" t="s">
        <v>1519</v>
      </c>
      <c r="C220" s="8" t="s">
        <v>1057</v>
      </c>
      <c r="D220" s="24" t="s">
        <v>1058</v>
      </c>
      <c r="E220" s="57">
        <f t="shared" si="22"/>
        <v>53.59668</v>
      </c>
      <c r="F220" s="32">
        <f t="shared" si="16"/>
        <v>63.244082399999996</v>
      </c>
      <c r="G220" s="80">
        <f t="shared" si="19"/>
        <v>70.88160929999998</v>
      </c>
      <c r="H220" s="19">
        <f t="shared" si="20"/>
        <v>83.64029897399998</v>
      </c>
      <c r="I220" s="74">
        <v>0.8</v>
      </c>
      <c r="J220" s="24" t="s">
        <v>1058</v>
      </c>
      <c r="K220" s="57">
        <f t="shared" si="23"/>
        <v>85.754688</v>
      </c>
      <c r="L220" s="32">
        <f t="shared" si="17"/>
        <v>101.19053183999999</v>
      </c>
      <c r="M220" s="80">
        <f aca="true" t="shared" si="24" ref="M220:M266">420*1.1</f>
        <v>462.00000000000006</v>
      </c>
      <c r="N220" s="19">
        <f t="shared" si="18"/>
        <v>545.1600000000001</v>
      </c>
    </row>
    <row r="221" spans="1:14" ht="12.75">
      <c r="A221" s="330" t="s">
        <v>293</v>
      </c>
      <c r="B221" s="255" t="s">
        <v>1520</v>
      </c>
      <c r="C221" s="8" t="s">
        <v>1057</v>
      </c>
      <c r="D221" s="24" t="s">
        <v>1058</v>
      </c>
      <c r="E221" s="57">
        <f t="shared" si="22"/>
        <v>53.59668</v>
      </c>
      <c r="F221" s="32">
        <f t="shared" si="16"/>
        <v>63.244082399999996</v>
      </c>
      <c r="G221" s="80">
        <f t="shared" si="19"/>
        <v>70.88160929999998</v>
      </c>
      <c r="H221" s="19">
        <f t="shared" si="20"/>
        <v>83.64029897399998</v>
      </c>
      <c r="I221" s="74">
        <v>0.8</v>
      </c>
      <c r="J221" s="24" t="s">
        <v>1058</v>
      </c>
      <c r="K221" s="57">
        <f t="shared" si="23"/>
        <v>85.754688</v>
      </c>
      <c r="L221" s="32">
        <f t="shared" si="17"/>
        <v>101.19053183999999</v>
      </c>
      <c r="M221" s="80">
        <f t="shared" si="24"/>
        <v>462.00000000000006</v>
      </c>
      <c r="N221" s="19">
        <f t="shared" si="18"/>
        <v>545.1600000000001</v>
      </c>
    </row>
    <row r="222" spans="1:14" ht="12.75">
      <c r="A222" s="330" t="s">
        <v>294</v>
      </c>
      <c r="B222" s="255" t="s">
        <v>1521</v>
      </c>
      <c r="C222" s="8" t="s">
        <v>1057</v>
      </c>
      <c r="D222" s="24" t="s">
        <v>1058</v>
      </c>
      <c r="E222" s="57">
        <f t="shared" si="22"/>
        <v>53.59668</v>
      </c>
      <c r="F222" s="32">
        <f t="shared" si="16"/>
        <v>63.244082399999996</v>
      </c>
      <c r="G222" s="80">
        <f t="shared" si="19"/>
        <v>70.88160929999998</v>
      </c>
      <c r="H222" s="19">
        <f t="shared" si="20"/>
        <v>83.64029897399998</v>
      </c>
      <c r="I222" s="74">
        <v>0.8</v>
      </c>
      <c r="J222" s="24" t="s">
        <v>1058</v>
      </c>
      <c r="K222" s="57">
        <f t="shared" si="23"/>
        <v>85.754688</v>
      </c>
      <c r="L222" s="32">
        <f t="shared" si="17"/>
        <v>101.19053183999999</v>
      </c>
      <c r="M222" s="80">
        <f t="shared" si="24"/>
        <v>462.00000000000006</v>
      </c>
      <c r="N222" s="19">
        <f t="shared" si="18"/>
        <v>545.1600000000001</v>
      </c>
    </row>
    <row r="223" spans="1:14" ht="12.75">
      <c r="A223" s="330" t="s">
        <v>295</v>
      </c>
      <c r="B223" s="255" t="s">
        <v>1522</v>
      </c>
      <c r="C223" s="8" t="s">
        <v>1057</v>
      </c>
      <c r="D223" s="24" t="s">
        <v>1058</v>
      </c>
      <c r="E223" s="57">
        <f t="shared" si="22"/>
        <v>53.59668</v>
      </c>
      <c r="F223" s="32">
        <f t="shared" si="16"/>
        <v>63.244082399999996</v>
      </c>
      <c r="G223" s="80">
        <f t="shared" si="19"/>
        <v>70.88160929999998</v>
      </c>
      <c r="H223" s="19">
        <f t="shared" si="20"/>
        <v>83.64029897399998</v>
      </c>
      <c r="I223" s="74">
        <v>0.8</v>
      </c>
      <c r="J223" s="24" t="s">
        <v>1058</v>
      </c>
      <c r="K223" s="57">
        <f t="shared" si="23"/>
        <v>85.754688</v>
      </c>
      <c r="L223" s="32">
        <f t="shared" si="17"/>
        <v>101.19053183999999</v>
      </c>
      <c r="M223" s="80">
        <f t="shared" si="24"/>
        <v>462.00000000000006</v>
      </c>
      <c r="N223" s="19">
        <f t="shared" si="18"/>
        <v>545.1600000000001</v>
      </c>
    </row>
    <row r="224" spans="1:14" ht="12.75">
      <c r="A224" s="330" t="s">
        <v>296</v>
      </c>
      <c r="B224" s="255" t="s">
        <v>1523</v>
      </c>
      <c r="C224" s="8" t="s">
        <v>1057</v>
      </c>
      <c r="D224" s="24" t="s">
        <v>1058</v>
      </c>
      <c r="E224" s="57">
        <f t="shared" si="22"/>
        <v>53.59668</v>
      </c>
      <c r="F224" s="32">
        <f t="shared" si="16"/>
        <v>63.244082399999996</v>
      </c>
      <c r="G224" s="80">
        <f t="shared" si="19"/>
        <v>70.88160929999998</v>
      </c>
      <c r="H224" s="19">
        <f t="shared" si="20"/>
        <v>83.64029897399998</v>
      </c>
      <c r="I224" s="74">
        <v>0.8</v>
      </c>
      <c r="J224" s="24" t="s">
        <v>1058</v>
      </c>
      <c r="K224" s="57">
        <f t="shared" si="23"/>
        <v>85.754688</v>
      </c>
      <c r="L224" s="32">
        <f t="shared" si="17"/>
        <v>101.19053183999999</v>
      </c>
      <c r="M224" s="80">
        <f t="shared" si="24"/>
        <v>462.00000000000006</v>
      </c>
      <c r="N224" s="19">
        <f t="shared" si="18"/>
        <v>545.1600000000001</v>
      </c>
    </row>
    <row r="225" spans="1:14" ht="12.75">
      <c r="A225" s="330" t="s">
        <v>297</v>
      </c>
      <c r="B225" s="255" t="s">
        <v>1524</v>
      </c>
      <c r="C225" s="8" t="s">
        <v>1057</v>
      </c>
      <c r="D225" s="24" t="s">
        <v>1058</v>
      </c>
      <c r="E225" s="57">
        <f t="shared" si="22"/>
        <v>53.59668</v>
      </c>
      <c r="F225" s="32">
        <f t="shared" si="16"/>
        <v>63.244082399999996</v>
      </c>
      <c r="G225" s="80">
        <f t="shared" si="19"/>
        <v>70.88160929999998</v>
      </c>
      <c r="H225" s="19">
        <f t="shared" si="20"/>
        <v>83.64029897399998</v>
      </c>
      <c r="I225" s="74">
        <v>0.8</v>
      </c>
      <c r="J225" s="24" t="s">
        <v>1058</v>
      </c>
      <c r="K225" s="57">
        <f t="shared" si="23"/>
        <v>85.754688</v>
      </c>
      <c r="L225" s="32">
        <f t="shared" si="17"/>
        <v>101.19053183999999</v>
      </c>
      <c r="M225" s="80">
        <f t="shared" si="24"/>
        <v>462.00000000000006</v>
      </c>
      <c r="N225" s="19">
        <f t="shared" si="18"/>
        <v>545.1600000000001</v>
      </c>
    </row>
    <row r="226" spans="1:14" ht="12.75">
      <c r="A226" s="330" t="s">
        <v>298</v>
      </c>
      <c r="B226" s="255" t="s">
        <v>1525</v>
      </c>
      <c r="C226" s="8" t="s">
        <v>1057</v>
      </c>
      <c r="D226" s="24" t="s">
        <v>1058</v>
      </c>
      <c r="E226" s="57">
        <f t="shared" si="22"/>
        <v>53.59668</v>
      </c>
      <c r="F226" s="32">
        <f t="shared" si="16"/>
        <v>63.244082399999996</v>
      </c>
      <c r="G226" s="80">
        <f t="shared" si="19"/>
        <v>70.88160929999998</v>
      </c>
      <c r="H226" s="19">
        <f t="shared" si="20"/>
        <v>83.64029897399998</v>
      </c>
      <c r="I226" s="74">
        <v>0.8</v>
      </c>
      <c r="J226" s="24" t="s">
        <v>1058</v>
      </c>
      <c r="K226" s="57">
        <f t="shared" si="23"/>
        <v>85.754688</v>
      </c>
      <c r="L226" s="32">
        <f t="shared" si="17"/>
        <v>101.19053183999999</v>
      </c>
      <c r="M226" s="80">
        <f t="shared" si="24"/>
        <v>462.00000000000006</v>
      </c>
      <c r="N226" s="19">
        <f t="shared" si="18"/>
        <v>545.1600000000001</v>
      </c>
    </row>
    <row r="227" spans="1:14" ht="12.75">
      <c r="A227" s="330" t="s">
        <v>299</v>
      </c>
      <c r="B227" s="255" t="s">
        <v>1526</v>
      </c>
      <c r="C227" s="8" t="s">
        <v>1057</v>
      </c>
      <c r="D227" s="24" t="s">
        <v>1058</v>
      </c>
      <c r="E227" s="57">
        <f t="shared" si="22"/>
        <v>53.59668</v>
      </c>
      <c r="F227" s="32">
        <f t="shared" si="16"/>
        <v>63.244082399999996</v>
      </c>
      <c r="G227" s="80">
        <f t="shared" si="19"/>
        <v>70.88160929999998</v>
      </c>
      <c r="H227" s="19">
        <f>G227*1.18</f>
        <v>83.64029897399998</v>
      </c>
      <c r="I227" s="74">
        <v>0.8</v>
      </c>
      <c r="J227" s="24" t="s">
        <v>1058</v>
      </c>
      <c r="K227" s="57">
        <f t="shared" si="23"/>
        <v>85.754688</v>
      </c>
      <c r="L227" s="32">
        <f t="shared" si="17"/>
        <v>101.19053183999999</v>
      </c>
      <c r="M227" s="80">
        <f t="shared" si="24"/>
        <v>462.00000000000006</v>
      </c>
      <c r="N227" s="19">
        <f>M227*1.18</f>
        <v>545.1600000000001</v>
      </c>
    </row>
    <row r="228" spans="1:14" ht="12.75">
      <c r="A228" s="330" t="s">
        <v>300</v>
      </c>
      <c r="B228" s="255" t="s">
        <v>1527</v>
      </c>
      <c r="C228" s="8" t="s">
        <v>1057</v>
      </c>
      <c r="D228" s="24" t="s">
        <v>1058</v>
      </c>
      <c r="E228" s="57">
        <f t="shared" si="22"/>
        <v>53.59668</v>
      </c>
      <c r="F228" s="32">
        <f t="shared" si="16"/>
        <v>63.244082399999996</v>
      </c>
      <c r="G228" s="80">
        <f t="shared" si="19"/>
        <v>70.88160929999998</v>
      </c>
      <c r="H228" s="19">
        <f t="shared" si="20"/>
        <v>83.64029897399998</v>
      </c>
      <c r="I228" s="74">
        <v>0.8</v>
      </c>
      <c r="J228" s="24" t="s">
        <v>1058</v>
      </c>
      <c r="K228" s="57">
        <f t="shared" si="23"/>
        <v>85.754688</v>
      </c>
      <c r="L228" s="32">
        <f t="shared" si="17"/>
        <v>101.19053183999999</v>
      </c>
      <c r="M228" s="80">
        <f t="shared" si="24"/>
        <v>462.00000000000006</v>
      </c>
      <c r="N228" s="19">
        <f t="shared" si="18"/>
        <v>545.1600000000001</v>
      </c>
    </row>
    <row r="229" spans="1:14" ht="12.75">
      <c r="A229" s="330" t="s">
        <v>301</v>
      </c>
      <c r="B229" s="255" t="s">
        <v>1528</v>
      </c>
      <c r="C229" s="8" t="s">
        <v>1057</v>
      </c>
      <c r="D229" s="24" t="s">
        <v>1058</v>
      </c>
      <c r="E229" s="57">
        <f t="shared" si="22"/>
        <v>53.59668</v>
      </c>
      <c r="F229" s="32">
        <f t="shared" si="16"/>
        <v>63.244082399999996</v>
      </c>
      <c r="G229" s="80">
        <f t="shared" si="19"/>
        <v>70.88160929999998</v>
      </c>
      <c r="H229" s="19">
        <f t="shared" si="20"/>
        <v>83.64029897399998</v>
      </c>
      <c r="I229" s="74">
        <v>0.8</v>
      </c>
      <c r="J229" s="24" t="s">
        <v>1058</v>
      </c>
      <c r="K229" s="57">
        <f t="shared" si="23"/>
        <v>85.754688</v>
      </c>
      <c r="L229" s="32">
        <f t="shared" si="17"/>
        <v>101.19053183999999</v>
      </c>
      <c r="M229" s="80">
        <f t="shared" si="24"/>
        <v>462.00000000000006</v>
      </c>
      <c r="N229" s="19">
        <f t="shared" si="18"/>
        <v>545.1600000000001</v>
      </c>
    </row>
    <row r="230" spans="1:14" ht="12.75">
      <c r="A230" s="330" t="s">
        <v>302</v>
      </c>
      <c r="B230" s="255" t="s">
        <v>1529</v>
      </c>
      <c r="C230" s="8" t="s">
        <v>1057</v>
      </c>
      <c r="D230" s="24" t="s">
        <v>1058</v>
      </c>
      <c r="E230" s="57">
        <f t="shared" si="22"/>
        <v>53.59668</v>
      </c>
      <c r="F230" s="32">
        <f t="shared" si="16"/>
        <v>63.244082399999996</v>
      </c>
      <c r="G230" s="80">
        <f t="shared" si="19"/>
        <v>70.88160929999998</v>
      </c>
      <c r="H230" s="19">
        <f t="shared" si="20"/>
        <v>83.64029897399998</v>
      </c>
      <c r="I230" s="74">
        <v>0.8</v>
      </c>
      <c r="J230" s="24" t="s">
        <v>1058</v>
      </c>
      <c r="K230" s="57">
        <f t="shared" si="23"/>
        <v>85.754688</v>
      </c>
      <c r="L230" s="32">
        <f t="shared" si="17"/>
        <v>101.19053183999999</v>
      </c>
      <c r="M230" s="80">
        <f t="shared" si="24"/>
        <v>462.00000000000006</v>
      </c>
      <c r="N230" s="19">
        <f t="shared" si="18"/>
        <v>545.1600000000001</v>
      </c>
    </row>
    <row r="231" spans="1:14" ht="12.75">
      <c r="A231" s="330" t="s">
        <v>303</v>
      </c>
      <c r="B231" s="255" t="s">
        <v>1530</v>
      </c>
      <c r="C231" s="8" t="s">
        <v>1057</v>
      </c>
      <c r="D231" s="24" t="s">
        <v>1058</v>
      </c>
      <c r="E231" s="57">
        <f t="shared" si="22"/>
        <v>53.59668</v>
      </c>
      <c r="F231" s="32">
        <f t="shared" si="16"/>
        <v>63.244082399999996</v>
      </c>
      <c r="G231" s="80">
        <f t="shared" si="19"/>
        <v>70.88160929999998</v>
      </c>
      <c r="H231" s="19">
        <f t="shared" si="20"/>
        <v>83.64029897399998</v>
      </c>
      <c r="I231" s="74">
        <v>0.8</v>
      </c>
      <c r="J231" s="24" t="s">
        <v>1058</v>
      </c>
      <c r="K231" s="57">
        <f t="shared" si="23"/>
        <v>85.754688</v>
      </c>
      <c r="L231" s="32">
        <f t="shared" si="17"/>
        <v>101.19053183999999</v>
      </c>
      <c r="M231" s="80">
        <f t="shared" si="24"/>
        <v>462.00000000000006</v>
      </c>
      <c r="N231" s="19">
        <f t="shared" si="18"/>
        <v>545.1600000000001</v>
      </c>
    </row>
    <row r="232" spans="1:14" ht="12.75">
      <c r="A232" s="330" t="s">
        <v>304</v>
      </c>
      <c r="B232" s="255" t="s">
        <v>1531</v>
      </c>
      <c r="C232" s="8" t="s">
        <v>1057</v>
      </c>
      <c r="D232" s="24" t="s">
        <v>1101</v>
      </c>
      <c r="E232" s="57">
        <f t="shared" si="22"/>
        <v>53.59668</v>
      </c>
      <c r="F232" s="32">
        <f t="shared" si="16"/>
        <v>63.244082399999996</v>
      </c>
      <c r="G232" s="80">
        <f t="shared" si="19"/>
        <v>70.88160929999998</v>
      </c>
      <c r="H232" s="19">
        <f t="shared" si="20"/>
        <v>83.64029897399998</v>
      </c>
      <c r="I232" s="74">
        <v>0.8</v>
      </c>
      <c r="J232" s="24" t="s">
        <v>1101</v>
      </c>
      <c r="K232" s="57">
        <f t="shared" si="23"/>
        <v>85.754688</v>
      </c>
      <c r="L232" s="32">
        <f t="shared" si="17"/>
        <v>101.19053183999999</v>
      </c>
      <c r="M232" s="80">
        <f t="shared" si="24"/>
        <v>462.00000000000006</v>
      </c>
      <c r="N232" s="19">
        <f t="shared" si="18"/>
        <v>545.1600000000001</v>
      </c>
    </row>
    <row r="233" spans="1:14" ht="12.75">
      <c r="A233" s="330" t="s">
        <v>305</v>
      </c>
      <c r="B233" s="255" t="s">
        <v>1532</v>
      </c>
      <c r="C233" s="8" t="s">
        <v>1057</v>
      </c>
      <c r="D233" s="24" t="s">
        <v>1058</v>
      </c>
      <c r="E233" s="57">
        <f t="shared" si="22"/>
        <v>53.59668</v>
      </c>
      <c r="F233" s="32">
        <f t="shared" si="16"/>
        <v>63.244082399999996</v>
      </c>
      <c r="G233" s="80">
        <f t="shared" si="19"/>
        <v>70.88160929999998</v>
      </c>
      <c r="H233" s="19">
        <f t="shared" si="20"/>
        <v>83.64029897399998</v>
      </c>
      <c r="I233" s="74">
        <v>0.8</v>
      </c>
      <c r="J233" s="24" t="s">
        <v>1058</v>
      </c>
      <c r="K233" s="57">
        <f t="shared" si="23"/>
        <v>85.754688</v>
      </c>
      <c r="L233" s="32">
        <f t="shared" si="17"/>
        <v>101.19053183999999</v>
      </c>
      <c r="M233" s="80">
        <f t="shared" si="24"/>
        <v>462.00000000000006</v>
      </c>
      <c r="N233" s="19">
        <f t="shared" si="18"/>
        <v>545.1600000000001</v>
      </c>
    </row>
    <row r="234" spans="1:14" ht="12.75">
      <c r="A234" s="330" t="s">
        <v>306</v>
      </c>
      <c r="B234" s="255" t="s">
        <v>1533</v>
      </c>
      <c r="C234" s="8" t="s">
        <v>1057</v>
      </c>
      <c r="D234" s="24" t="s">
        <v>1058</v>
      </c>
      <c r="E234" s="57">
        <f t="shared" si="22"/>
        <v>53.59668</v>
      </c>
      <c r="F234" s="32">
        <f t="shared" si="16"/>
        <v>63.244082399999996</v>
      </c>
      <c r="G234" s="80">
        <f t="shared" si="19"/>
        <v>70.88160929999998</v>
      </c>
      <c r="H234" s="19">
        <f t="shared" si="20"/>
        <v>83.64029897399998</v>
      </c>
      <c r="I234" s="74">
        <v>0.8</v>
      </c>
      <c r="J234" s="24" t="s">
        <v>1058</v>
      </c>
      <c r="K234" s="57">
        <f t="shared" si="23"/>
        <v>85.754688</v>
      </c>
      <c r="L234" s="32">
        <f t="shared" si="17"/>
        <v>101.19053183999999</v>
      </c>
      <c r="M234" s="80">
        <f t="shared" si="24"/>
        <v>462.00000000000006</v>
      </c>
      <c r="N234" s="19">
        <f t="shared" si="18"/>
        <v>545.1600000000001</v>
      </c>
    </row>
    <row r="235" spans="1:14" ht="12.75">
      <c r="A235" s="330" t="s">
        <v>307</v>
      </c>
      <c r="B235" s="255" t="s">
        <v>1588</v>
      </c>
      <c r="C235" s="8" t="s">
        <v>1057</v>
      </c>
      <c r="D235" s="24" t="s">
        <v>1058</v>
      </c>
      <c r="E235" s="57">
        <f t="shared" si="22"/>
        <v>53.59668</v>
      </c>
      <c r="F235" s="32">
        <f t="shared" si="16"/>
        <v>63.244082399999996</v>
      </c>
      <c r="G235" s="80">
        <f t="shared" si="19"/>
        <v>70.88160929999998</v>
      </c>
      <c r="H235" s="19">
        <f t="shared" si="20"/>
        <v>83.64029897399998</v>
      </c>
      <c r="I235" s="74">
        <v>0.8</v>
      </c>
      <c r="J235" s="24" t="s">
        <v>1058</v>
      </c>
      <c r="K235" s="57">
        <f t="shared" si="23"/>
        <v>85.754688</v>
      </c>
      <c r="L235" s="32">
        <f t="shared" si="17"/>
        <v>101.19053183999999</v>
      </c>
      <c r="M235" s="80">
        <f t="shared" si="24"/>
        <v>462.00000000000006</v>
      </c>
      <c r="N235" s="19">
        <f t="shared" si="18"/>
        <v>545.1600000000001</v>
      </c>
    </row>
    <row r="236" spans="1:14" ht="12.75">
      <c r="A236" s="330" t="s">
        <v>308</v>
      </c>
      <c r="B236" s="255" t="s">
        <v>1589</v>
      </c>
      <c r="C236" s="8" t="s">
        <v>1057</v>
      </c>
      <c r="D236" s="24" t="s">
        <v>1058</v>
      </c>
      <c r="E236" s="57">
        <f t="shared" si="22"/>
        <v>53.59668</v>
      </c>
      <c r="F236" s="32">
        <f t="shared" si="16"/>
        <v>63.244082399999996</v>
      </c>
      <c r="G236" s="80">
        <f t="shared" si="19"/>
        <v>70.88160929999998</v>
      </c>
      <c r="H236" s="19">
        <f t="shared" si="20"/>
        <v>83.64029897399998</v>
      </c>
      <c r="I236" s="74">
        <v>0.8</v>
      </c>
      <c r="J236" s="24" t="s">
        <v>1058</v>
      </c>
      <c r="K236" s="57">
        <f t="shared" si="23"/>
        <v>85.754688</v>
      </c>
      <c r="L236" s="32">
        <f t="shared" si="17"/>
        <v>101.19053183999999</v>
      </c>
      <c r="M236" s="80">
        <f t="shared" si="24"/>
        <v>462.00000000000006</v>
      </c>
      <c r="N236" s="19">
        <f t="shared" si="18"/>
        <v>545.1600000000001</v>
      </c>
    </row>
    <row r="237" spans="1:14" ht="12.75">
      <c r="A237" s="330" t="s">
        <v>309</v>
      </c>
      <c r="B237" s="255" t="s">
        <v>2327</v>
      </c>
      <c r="C237" s="8" t="s">
        <v>1057</v>
      </c>
      <c r="D237" s="24" t="s">
        <v>1058</v>
      </c>
      <c r="E237" s="57">
        <f t="shared" si="22"/>
        <v>53.59668</v>
      </c>
      <c r="F237" s="32">
        <f t="shared" si="16"/>
        <v>63.244082399999996</v>
      </c>
      <c r="G237" s="80">
        <f t="shared" si="19"/>
        <v>70.88160929999998</v>
      </c>
      <c r="H237" s="19">
        <f t="shared" si="20"/>
        <v>83.64029897399998</v>
      </c>
      <c r="I237" s="74">
        <v>0.8</v>
      </c>
      <c r="J237" s="24" t="s">
        <v>1058</v>
      </c>
      <c r="K237" s="57">
        <f t="shared" si="23"/>
        <v>85.754688</v>
      </c>
      <c r="L237" s="32">
        <f t="shared" si="17"/>
        <v>101.19053183999999</v>
      </c>
      <c r="M237" s="80">
        <f t="shared" si="24"/>
        <v>462.00000000000006</v>
      </c>
      <c r="N237" s="19">
        <f t="shared" si="18"/>
        <v>545.1600000000001</v>
      </c>
    </row>
    <row r="238" spans="1:14" ht="12.75">
      <c r="A238" s="330" t="s">
        <v>310</v>
      </c>
      <c r="B238" s="255" t="s">
        <v>2328</v>
      </c>
      <c r="C238" s="8" t="s">
        <v>1057</v>
      </c>
      <c r="D238" s="24" t="s">
        <v>1058</v>
      </c>
      <c r="E238" s="57">
        <f t="shared" si="22"/>
        <v>53.59668</v>
      </c>
      <c r="F238" s="32">
        <f t="shared" si="16"/>
        <v>63.244082399999996</v>
      </c>
      <c r="G238" s="80">
        <f t="shared" si="19"/>
        <v>70.88160929999998</v>
      </c>
      <c r="H238" s="19">
        <f t="shared" si="20"/>
        <v>83.64029897399998</v>
      </c>
      <c r="I238" s="74">
        <v>0.8</v>
      </c>
      <c r="J238" s="24" t="s">
        <v>1058</v>
      </c>
      <c r="K238" s="57">
        <f t="shared" si="23"/>
        <v>85.754688</v>
      </c>
      <c r="L238" s="32">
        <f t="shared" si="17"/>
        <v>101.19053183999999</v>
      </c>
      <c r="M238" s="80">
        <f t="shared" si="24"/>
        <v>462.00000000000006</v>
      </c>
      <c r="N238" s="19">
        <f t="shared" si="18"/>
        <v>545.1600000000001</v>
      </c>
    </row>
    <row r="239" spans="1:14" ht="12.75">
      <c r="A239" s="330" t="s">
        <v>311</v>
      </c>
      <c r="B239" s="255" t="s">
        <v>2329</v>
      </c>
      <c r="C239" s="8" t="s">
        <v>1057</v>
      </c>
      <c r="D239" s="24" t="s">
        <v>1058</v>
      </c>
      <c r="E239" s="57">
        <f t="shared" si="22"/>
        <v>53.59668</v>
      </c>
      <c r="F239" s="32">
        <f t="shared" si="16"/>
        <v>63.244082399999996</v>
      </c>
      <c r="G239" s="80">
        <f t="shared" si="19"/>
        <v>70.88160929999998</v>
      </c>
      <c r="H239" s="19">
        <f t="shared" si="20"/>
        <v>83.64029897399998</v>
      </c>
      <c r="I239" s="74">
        <v>0.8</v>
      </c>
      <c r="J239" s="24" t="s">
        <v>1058</v>
      </c>
      <c r="K239" s="57">
        <f t="shared" si="23"/>
        <v>85.754688</v>
      </c>
      <c r="L239" s="32">
        <f t="shared" si="17"/>
        <v>101.19053183999999</v>
      </c>
      <c r="M239" s="80">
        <f t="shared" si="24"/>
        <v>462.00000000000006</v>
      </c>
      <c r="N239" s="19">
        <f t="shared" si="18"/>
        <v>545.1600000000001</v>
      </c>
    </row>
    <row r="240" spans="1:14" ht="12.75">
      <c r="A240" s="330" t="s">
        <v>312</v>
      </c>
      <c r="B240" s="255" t="s">
        <v>2330</v>
      </c>
      <c r="C240" s="8" t="s">
        <v>1057</v>
      </c>
      <c r="D240" s="24" t="s">
        <v>1058</v>
      </c>
      <c r="E240" s="57">
        <f t="shared" si="22"/>
        <v>53.59668</v>
      </c>
      <c r="F240" s="32">
        <f t="shared" si="16"/>
        <v>63.244082399999996</v>
      </c>
      <c r="G240" s="80">
        <f t="shared" si="19"/>
        <v>70.88160929999998</v>
      </c>
      <c r="H240" s="19">
        <f t="shared" si="20"/>
        <v>83.64029897399998</v>
      </c>
      <c r="I240" s="74">
        <v>0.8</v>
      </c>
      <c r="J240" s="24" t="s">
        <v>1058</v>
      </c>
      <c r="K240" s="57">
        <f t="shared" si="23"/>
        <v>85.754688</v>
      </c>
      <c r="L240" s="32">
        <f t="shared" si="17"/>
        <v>101.19053183999999</v>
      </c>
      <c r="M240" s="80">
        <f t="shared" si="24"/>
        <v>462.00000000000006</v>
      </c>
      <c r="N240" s="19">
        <f t="shared" si="18"/>
        <v>545.1600000000001</v>
      </c>
    </row>
    <row r="241" spans="1:14" ht="12.75">
      <c r="A241" s="330" t="s">
        <v>313</v>
      </c>
      <c r="B241" s="255" t="s">
        <v>2331</v>
      </c>
      <c r="C241" s="8" t="s">
        <v>1057</v>
      </c>
      <c r="D241" s="24" t="s">
        <v>1058</v>
      </c>
      <c r="E241" s="57">
        <f t="shared" si="22"/>
        <v>53.59668</v>
      </c>
      <c r="F241" s="32">
        <f t="shared" si="16"/>
        <v>63.244082399999996</v>
      </c>
      <c r="G241" s="80">
        <f t="shared" si="19"/>
        <v>70.88160929999998</v>
      </c>
      <c r="H241" s="19">
        <f t="shared" si="20"/>
        <v>83.64029897399998</v>
      </c>
      <c r="I241" s="74">
        <v>0.8</v>
      </c>
      <c r="J241" s="24" t="s">
        <v>1058</v>
      </c>
      <c r="K241" s="57">
        <f t="shared" si="23"/>
        <v>85.754688</v>
      </c>
      <c r="L241" s="32">
        <f t="shared" si="17"/>
        <v>101.19053183999999</v>
      </c>
      <c r="M241" s="80">
        <f t="shared" si="24"/>
        <v>462.00000000000006</v>
      </c>
      <c r="N241" s="19">
        <f t="shared" si="18"/>
        <v>545.1600000000001</v>
      </c>
    </row>
    <row r="242" spans="1:14" ht="12.75">
      <c r="A242" s="330" t="s">
        <v>314</v>
      </c>
      <c r="B242" s="255" t="s">
        <v>2332</v>
      </c>
      <c r="C242" s="8">
        <v>0.5</v>
      </c>
      <c r="D242" s="24">
        <v>49.73</v>
      </c>
      <c r="E242" s="57">
        <f t="shared" si="22"/>
        <v>53.59668</v>
      </c>
      <c r="F242" s="32">
        <f t="shared" si="16"/>
        <v>63.244082399999996</v>
      </c>
      <c r="G242" s="80">
        <f t="shared" si="19"/>
        <v>70.88160929999998</v>
      </c>
      <c r="H242" s="19">
        <f t="shared" si="20"/>
        <v>83.64029897399998</v>
      </c>
      <c r="I242" s="74">
        <v>0.8</v>
      </c>
      <c r="J242" s="24">
        <v>49.73</v>
      </c>
      <c r="K242" s="57">
        <f t="shared" si="23"/>
        <v>85.754688</v>
      </c>
      <c r="L242" s="32">
        <f t="shared" si="17"/>
        <v>101.19053183999999</v>
      </c>
      <c r="M242" s="80">
        <f t="shared" si="24"/>
        <v>462.00000000000006</v>
      </c>
      <c r="N242" s="19">
        <f t="shared" si="18"/>
        <v>545.1600000000001</v>
      </c>
    </row>
    <row r="243" spans="1:14" ht="12.75">
      <c r="A243" s="330" t="s">
        <v>315</v>
      </c>
      <c r="B243" s="255" t="s">
        <v>2333</v>
      </c>
      <c r="C243" s="8">
        <v>0.5</v>
      </c>
      <c r="D243" s="24">
        <v>49.73</v>
      </c>
      <c r="E243" s="57">
        <f t="shared" si="22"/>
        <v>53.59668</v>
      </c>
      <c r="F243" s="32">
        <f t="shared" si="16"/>
        <v>63.244082399999996</v>
      </c>
      <c r="G243" s="80">
        <f t="shared" si="19"/>
        <v>70.88160929999998</v>
      </c>
      <c r="H243" s="19">
        <f t="shared" si="20"/>
        <v>83.64029897399998</v>
      </c>
      <c r="I243" s="74">
        <v>0.8</v>
      </c>
      <c r="J243" s="24">
        <v>49.73</v>
      </c>
      <c r="K243" s="57">
        <f t="shared" si="23"/>
        <v>85.754688</v>
      </c>
      <c r="L243" s="32">
        <f t="shared" si="17"/>
        <v>101.19053183999999</v>
      </c>
      <c r="M243" s="80">
        <f t="shared" si="24"/>
        <v>462.00000000000006</v>
      </c>
      <c r="N243" s="19">
        <f t="shared" si="18"/>
        <v>545.1600000000001</v>
      </c>
    </row>
    <row r="244" spans="1:14" ht="12.75">
      <c r="A244" s="330" t="s">
        <v>316</v>
      </c>
      <c r="B244" s="255" t="s">
        <v>2334</v>
      </c>
      <c r="C244" s="8">
        <v>0.5</v>
      </c>
      <c r="D244" s="24">
        <v>49.73</v>
      </c>
      <c r="E244" s="57">
        <f t="shared" si="22"/>
        <v>53.59668</v>
      </c>
      <c r="F244" s="32">
        <f t="shared" si="16"/>
        <v>63.244082399999996</v>
      </c>
      <c r="G244" s="80">
        <f t="shared" si="19"/>
        <v>70.88160929999998</v>
      </c>
      <c r="H244" s="19">
        <f t="shared" si="20"/>
        <v>83.64029897399998</v>
      </c>
      <c r="I244" s="74">
        <v>0.8</v>
      </c>
      <c r="J244" s="24">
        <v>49.73</v>
      </c>
      <c r="K244" s="57">
        <f t="shared" si="23"/>
        <v>85.754688</v>
      </c>
      <c r="L244" s="32">
        <f t="shared" si="17"/>
        <v>101.19053183999999</v>
      </c>
      <c r="M244" s="80">
        <f t="shared" si="24"/>
        <v>462.00000000000006</v>
      </c>
      <c r="N244" s="19">
        <f t="shared" si="18"/>
        <v>545.1600000000001</v>
      </c>
    </row>
    <row r="245" spans="1:14" ht="12.75">
      <c r="A245" s="330" t="s">
        <v>317</v>
      </c>
      <c r="B245" s="255" t="s">
        <v>2335</v>
      </c>
      <c r="C245" s="8">
        <v>0.5</v>
      </c>
      <c r="D245" s="24">
        <v>49.73</v>
      </c>
      <c r="E245" s="57">
        <f t="shared" si="22"/>
        <v>53.59668</v>
      </c>
      <c r="F245" s="32">
        <f t="shared" si="16"/>
        <v>63.244082399999996</v>
      </c>
      <c r="G245" s="80">
        <f t="shared" si="19"/>
        <v>70.88160929999998</v>
      </c>
      <c r="H245" s="19">
        <f t="shared" si="20"/>
        <v>83.64029897399998</v>
      </c>
      <c r="I245" s="74">
        <v>0.8</v>
      </c>
      <c r="J245" s="24">
        <v>49.73</v>
      </c>
      <c r="K245" s="57">
        <f t="shared" si="23"/>
        <v>85.754688</v>
      </c>
      <c r="L245" s="32">
        <f t="shared" si="17"/>
        <v>101.19053183999999</v>
      </c>
      <c r="M245" s="80">
        <f t="shared" si="24"/>
        <v>462.00000000000006</v>
      </c>
      <c r="N245" s="19">
        <f t="shared" si="18"/>
        <v>545.1600000000001</v>
      </c>
    </row>
    <row r="246" spans="1:14" ht="12.75">
      <c r="A246" s="330" t="s">
        <v>318</v>
      </c>
      <c r="B246" s="255" t="s">
        <v>2336</v>
      </c>
      <c r="C246" s="8">
        <v>0.5</v>
      </c>
      <c r="D246" s="24">
        <v>49.73</v>
      </c>
      <c r="E246" s="57">
        <f t="shared" si="22"/>
        <v>53.59668</v>
      </c>
      <c r="F246" s="32">
        <f aca="true" t="shared" si="25" ref="F246:F268">E246*1.18</f>
        <v>63.244082399999996</v>
      </c>
      <c r="G246" s="80">
        <f t="shared" si="19"/>
        <v>70.88160929999998</v>
      </c>
      <c r="H246" s="19">
        <f t="shared" si="20"/>
        <v>83.64029897399998</v>
      </c>
      <c r="I246" s="74">
        <v>0.8</v>
      </c>
      <c r="J246" s="24">
        <v>49.73</v>
      </c>
      <c r="K246" s="57">
        <f t="shared" si="23"/>
        <v>85.754688</v>
      </c>
      <c r="L246" s="32">
        <f aca="true" t="shared" si="26" ref="L246:L268">K246*1.18</f>
        <v>101.19053183999999</v>
      </c>
      <c r="M246" s="80">
        <f t="shared" si="24"/>
        <v>462.00000000000006</v>
      </c>
      <c r="N246" s="19">
        <f t="shared" si="18"/>
        <v>545.1600000000001</v>
      </c>
    </row>
    <row r="247" spans="1:14" ht="12.75">
      <c r="A247" s="330" t="s">
        <v>319</v>
      </c>
      <c r="B247" s="255" t="s">
        <v>2337</v>
      </c>
      <c r="C247" s="8">
        <v>0.5</v>
      </c>
      <c r="D247" s="24">
        <v>49.73</v>
      </c>
      <c r="E247" s="57">
        <f t="shared" si="22"/>
        <v>53.59668</v>
      </c>
      <c r="F247" s="32">
        <f t="shared" si="25"/>
        <v>63.244082399999996</v>
      </c>
      <c r="G247" s="80">
        <f t="shared" si="19"/>
        <v>70.88160929999998</v>
      </c>
      <c r="H247" s="19">
        <f t="shared" si="20"/>
        <v>83.64029897399998</v>
      </c>
      <c r="I247" s="74">
        <v>0.8</v>
      </c>
      <c r="J247" s="24">
        <v>49.73</v>
      </c>
      <c r="K247" s="57">
        <f t="shared" si="23"/>
        <v>85.754688</v>
      </c>
      <c r="L247" s="32">
        <f t="shared" si="26"/>
        <v>101.19053183999999</v>
      </c>
      <c r="M247" s="80">
        <f t="shared" si="24"/>
        <v>462.00000000000006</v>
      </c>
      <c r="N247" s="19">
        <f>M247*1.18</f>
        <v>545.1600000000001</v>
      </c>
    </row>
    <row r="248" spans="1:14" ht="12.75">
      <c r="A248" s="330" t="s">
        <v>320</v>
      </c>
      <c r="B248" s="255" t="s">
        <v>2338</v>
      </c>
      <c r="C248" s="8">
        <v>0.5</v>
      </c>
      <c r="D248" s="21"/>
      <c r="E248" s="57">
        <f t="shared" si="22"/>
        <v>53.59668</v>
      </c>
      <c r="F248" s="32">
        <f t="shared" si="25"/>
        <v>63.244082399999996</v>
      </c>
      <c r="G248" s="80">
        <f t="shared" si="19"/>
        <v>70.88160929999998</v>
      </c>
      <c r="H248" s="19">
        <f t="shared" si="20"/>
        <v>83.64029897399998</v>
      </c>
      <c r="I248" s="74">
        <v>0.8</v>
      </c>
      <c r="J248" s="21"/>
      <c r="K248" s="57">
        <f t="shared" si="23"/>
        <v>85.754688</v>
      </c>
      <c r="L248" s="32">
        <f t="shared" si="26"/>
        <v>101.19053183999999</v>
      </c>
      <c r="M248" s="80">
        <f t="shared" si="24"/>
        <v>462.00000000000006</v>
      </c>
      <c r="N248" s="19">
        <f>M248*1.18</f>
        <v>545.1600000000001</v>
      </c>
    </row>
    <row r="249" spans="1:14" ht="12.75">
      <c r="A249" s="330" t="s">
        <v>321</v>
      </c>
      <c r="B249" s="255" t="s">
        <v>2339</v>
      </c>
      <c r="C249" s="8">
        <v>0.5</v>
      </c>
      <c r="D249" s="21"/>
      <c r="E249" s="57">
        <f t="shared" si="22"/>
        <v>53.59668</v>
      </c>
      <c r="F249" s="32">
        <f t="shared" si="25"/>
        <v>63.244082399999996</v>
      </c>
      <c r="G249" s="80">
        <f aca="true" t="shared" si="27" ref="G249:G268">E249*1.15*1.15</f>
        <v>70.88160929999998</v>
      </c>
      <c r="H249" s="19">
        <f t="shared" si="20"/>
        <v>83.64029897399998</v>
      </c>
      <c r="I249" s="74">
        <v>0.8</v>
      </c>
      <c r="J249" s="21"/>
      <c r="K249" s="57">
        <f t="shared" si="23"/>
        <v>85.754688</v>
      </c>
      <c r="L249" s="32">
        <f t="shared" si="26"/>
        <v>101.19053183999999</v>
      </c>
      <c r="M249" s="80">
        <f t="shared" si="24"/>
        <v>462.00000000000006</v>
      </c>
      <c r="N249" s="19">
        <f>M249*1.18</f>
        <v>545.1600000000001</v>
      </c>
    </row>
    <row r="250" spans="1:14" ht="25.5">
      <c r="A250" s="330" t="s">
        <v>2453</v>
      </c>
      <c r="B250" s="255" t="s">
        <v>1962</v>
      </c>
      <c r="C250" s="8">
        <v>0.8</v>
      </c>
      <c r="D250" s="21"/>
      <c r="E250" s="57">
        <f t="shared" si="22"/>
        <v>85.754688</v>
      </c>
      <c r="F250" s="32">
        <f t="shared" si="25"/>
        <v>101.19053183999999</v>
      </c>
      <c r="G250" s="80">
        <f t="shared" si="27"/>
        <v>113.41057487999998</v>
      </c>
      <c r="H250" s="19">
        <f t="shared" si="20"/>
        <v>133.82447835839997</v>
      </c>
      <c r="I250" s="74">
        <v>0.8</v>
      </c>
      <c r="J250" s="21"/>
      <c r="K250" s="57">
        <f t="shared" si="23"/>
        <v>85.754688</v>
      </c>
      <c r="L250" s="32">
        <f t="shared" si="26"/>
        <v>101.19053183999999</v>
      </c>
      <c r="M250" s="80">
        <f t="shared" si="24"/>
        <v>462.00000000000006</v>
      </c>
      <c r="N250" s="19">
        <f>M250*1.18</f>
        <v>545.1600000000001</v>
      </c>
    </row>
    <row r="251" spans="1:14" ht="38.25">
      <c r="A251" s="330" t="s">
        <v>2454</v>
      </c>
      <c r="B251" s="255" t="s">
        <v>1078</v>
      </c>
      <c r="C251" s="8"/>
      <c r="D251" s="21"/>
      <c r="E251" s="57"/>
      <c r="F251" s="32"/>
      <c r="G251" s="80"/>
      <c r="H251" s="19"/>
      <c r="I251" s="74"/>
      <c r="J251" s="21"/>
      <c r="K251" s="57"/>
      <c r="L251" s="32"/>
      <c r="M251" s="80">
        <f t="shared" si="24"/>
        <v>462.00000000000006</v>
      </c>
      <c r="N251" s="19"/>
    </row>
    <row r="252" spans="1:14" ht="12.75">
      <c r="A252" s="330" t="s">
        <v>322</v>
      </c>
      <c r="B252" s="565" t="s">
        <v>2527</v>
      </c>
      <c r="C252" s="8">
        <v>0.8</v>
      </c>
      <c r="D252" s="21"/>
      <c r="E252" s="57">
        <f>C252*97.36*1.101</f>
        <v>85.754688</v>
      </c>
      <c r="F252" s="32">
        <f t="shared" si="25"/>
        <v>101.19053183999999</v>
      </c>
      <c r="G252" s="80">
        <f t="shared" si="27"/>
        <v>113.41057487999998</v>
      </c>
      <c r="H252" s="19">
        <f aca="true" t="shared" si="28" ref="H252:H268">G252*1.18</f>
        <v>133.82447835839997</v>
      </c>
      <c r="I252" s="74">
        <v>0.8</v>
      </c>
      <c r="J252" s="21"/>
      <c r="K252" s="57">
        <f>I252*97.36*1.101</f>
        <v>85.754688</v>
      </c>
      <c r="L252" s="32">
        <f t="shared" si="26"/>
        <v>101.19053183999999</v>
      </c>
      <c r="M252" s="80">
        <f t="shared" si="24"/>
        <v>462.00000000000006</v>
      </c>
      <c r="N252" s="19">
        <f aca="true" t="shared" si="29" ref="N252:N268">M252*1.18</f>
        <v>545.1600000000001</v>
      </c>
    </row>
    <row r="253" spans="1:14" ht="12.75">
      <c r="A253" s="330" t="s">
        <v>323</v>
      </c>
      <c r="B253" s="565" t="s">
        <v>3279</v>
      </c>
      <c r="C253" s="8">
        <v>0.8</v>
      </c>
      <c r="D253" s="21"/>
      <c r="E253" s="57">
        <f aca="true" t="shared" si="30" ref="E253:E263">C253*97.36*1.101</f>
        <v>85.754688</v>
      </c>
      <c r="F253" s="32">
        <f t="shared" si="25"/>
        <v>101.19053183999999</v>
      </c>
      <c r="G253" s="80">
        <f t="shared" si="27"/>
        <v>113.41057487999998</v>
      </c>
      <c r="H253" s="19">
        <f t="shared" si="28"/>
        <v>133.82447835839997</v>
      </c>
      <c r="I253" s="74">
        <v>0.8</v>
      </c>
      <c r="J253" s="21"/>
      <c r="K253" s="57">
        <f aca="true" t="shared" si="31" ref="K253:K263">I253*97.36*1.101</f>
        <v>85.754688</v>
      </c>
      <c r="L253" s="32">
        <f t="shared" si="26"/>
        <v>101.19053183999999</v>
      </c>
      <c r="M253" s="80">
        <f t="shared" si="24"/>
        <v>462.00000000000006</v>
      </c>
      <c r="N253" s="19">
        <f t="shared" si="29"/>
        <v>545.1600000000001</v>
      </c>
    </row>
    <row r="254" spans="1:14" ht="12.75">
      <c r="A254" s="330" t="s">
        <v>324</v>
      </c>
      <c r="B254" s="565" t="s">
        <v>1079</v>
      </c>
      <c r="C254" s="8">
        <v>0.8</v>
      </c>
      <c r="D254" s="21"/>
      <c r="E254" s="57">
        <f t="shared" si="30"/>
        <v>85.754688</v>
      </c>
      <c r="F254" s="32">
        <f t="shared" si="25"/>
        <v>101.19053183999999</v>
      </c>
      <c r="G254" s="80">
        <f t="shared" si="27"/>
        <v>113.41057487999998</v>
      </c>
      <c r="H254" s="19">
        <f t="shared" si="28"/>
        <v>133.82447835839997</v>
      </c>
      <c r="I254" s="74">
        <v>0.8</v>
      </c>
      <c r="J254" s="21"/>
      <c r="K254" s="57">
        <f t="shared" si="31"/>
        <v>85.754688</v>
      </c>
      <c r="L254" s="32">
        <f t="shared" si="26"/>
        <v>101.19053183999999</v>
      </c>
      <c r="M254" s="80">
        <f t="shared" si="24"/>
        <v>462.00000000000006</v>
      </c>
      <c r="N254" s="19">
        <f t="shared" si="29"/>
        <v>545.1600000000001</v>
      </c>
    </row>
    <row r="255" spans="1:14" ht="12.75">
      <c r="A255" s="330" t="s">
        <v>325</v>
      </c>
      <c r="B255" s="565" t="s">
        <v>2530</v>
      </c>
      <c r="C255" s="8">
        <v>0.8</v>
      </c>
      <c r="D255" s="21"/>
      <c r="E255" s="57">
        <f t="shared" si="30"/>
        <v>85.754688</v>
      </c>
      <c r="F255" s="32">
        <f t="shared" si="25"/>
        <v>101.19053183999999</v>
      </c>
      <c r="G255" s="80">
        <f t="shared" si="27"/>
        <v>113.41057487999998</v>
      </c>
      <c r="H255" s="19">
        <f t="shared" si="28"/>
        <v>133.82447835839997</v>
      </c>
      <c r="I255" s="74">
        <v>0.8</v>
      </c>
      <c r="J255" s="21"/>
      <c r="K255" s="57">
        <f t="shared" si="31"/>
        <v>85.754688</v>
      </c>
      <c r="L255" s="32">
        <f t="shared" si="26"/>
        <v>101.19053183999999</v>
      </c>
      <c r="M255" s="80">
        <f t="shared" si="24"/>
        <v>462.00000000000006</v>
      </c>
      <c r="N255" s="19">
        <f t="shared" si="29"/>
        <v>545.1600000000001</v>
      </c>
    </row>
    <row r="256" spans="1:14" ht="12.75">
      <c r="A256" s="330" t="s">
        <v>326</v>
      </c>
      <c r="B256" s="565" t="s">
        <v>3280</v>
      </c>
      <c r="C256" s="8">
        <v>0.8</v>
      </c>
      <c r="D256" s="21"/>
      <c r="E256" s="57">
        <f t="shared" si="30"/>
        <v>85.754688</v>
      </c>
      <c r="F256" s="32">
        <f t="shared" si="25"/>
        <v>101.19053183999999</v>
      </c>
      <c r="G256" s="80">
        <f t="shared" si="27"/>
        <v>113.41057487999998</v>
      </c>
      <c r="H256" s="19">
        <f t="shared" si="28"/>
        <v>133.82447835839997</v>
      </c>
      <c r="I256" s="74">
        <v>0.8</v>
      </c>
      <c r="J256" s="21"/>
      <c r="K256" s="57">
        <f t="shared" si="31"/>
        <v>85.754688</v>
      </c>
      <c r="L256" s="32">
        <f t="shared" si="26"/>
        <v>101.19053183999999</v>
      </c>
      <c r="M256" s="80">
        <f t="shared" si="24"/>
        <v>462.00000000000006</v>
      </c>
      <c r="N256" s="19">
        <f t="shared" si="29"/>
        <v>545.1600000000001</v>
      </c>
    </row>
    <row r="257" spans="1:14" ht="12.75">
      <c r="A257" s="330" t="s">
        <v>327</v>
      </c>
      <c r="B257" s="565" t="s">
        <v>3281</v>
      </c>
      <c r="C257" s="8">
        <v>0.8</v>
      </c>
      <c r="D257" s="21"/>
      <c r="E257" s="57">
        <f t="shared" si="30"/>
        <v>85.754688</v>
      </c>
      <c r="F257" s="32">
        <f t="shared" si="25"/>
        <v>101.19053183999999</v>
      </c>
      <c r="G257" s="80">
        <f t="shared" si="27"/>
        <v>113.41057487999998</v>
      </c>
      <c r="H257" s="19">
        <f t="shared" si="28"/>
        <v>133.82447835839997</v>
      </c>
      <c r="I257" s="74">
        <v>0.8</v>
      </c>
      <c r="J257" s="21"/>
      <c r="K257" s="57">
        <f t="shared" si="31"/>
        <v>85.754688</v>
      </c>
      <c r="L257" s="32">
        <f t="shared" si="26"/>
        <v>101.19053183999999</v>
      </c>
      <c r="M257" s="80">
        <f t="shared" si="24"/>
        <v>462.00000000000006</v>
      </c>
      <c r="N257" s="19">
        <f t="shared" si="29"/>
        <v>545.1600000000001</v>
      </c>
    </row>
    <row r="258" spans="1:14" ht="12.75">
      <c r="A258" s="330" t="s">
        <v>328</v>
      </c>
      <c r="B258" s="565" t="s">
        <v>1100</v>
      </c>
      <c r="C258" s="8">
        <v>0.8</v>
      </c>
      <c r="D258" s="21"/>
      <c r="E258" s="57">
        <f t="shared" si="30"/>
        <v>85.754688</v>
      </c>
      <c r="F258" s="32">
        <f t="shared" si="25"/>
        <v>101.19053183999999</v>
      </c>
      <c r="G258" s="80">
        <f t="shared" si="27"/>
        <v>113.41057487999998</v>
      </c>
      <c r="H258" s="19">
        <f t="shared" si="28"/>
        <v>133.82447835839997</v>
      </c>
      <c r="I258" s="74">
        <v>0.8</v>
      </c>
      <c r="J258" s="21"/>
      <c r="K258" s="57">
        <f t="shared" si="31"/>
        <v>85.754688</v>
      </c>
      <c r="L258" s="32">
        <f t="shared" si="26"/>
        <v>101.19053183999999</v>
      </c>
      <c r="M258" s="80">
        <f t="shared" si="24"/>
        <v>462.00000000000006</v>
      </c>
      <c r="N258" s="19">
        <f t="shared" si="29"/>
        <v>545.1600000000001</v>
      </c>
    </row>
    <row r="259" spans="1:14" ht="12.75">
      <c r="A259" s="330" t="s">
        <v>329</v>
      </c>
      <c r="B259" s="565" t="s">
        <v>3282</v>
      </c>
      <c r="C259" s="8">
        <v>0.8</v>
      </c>
      <c r="D259" s="21"/>
      <c r="E259" s="57">
        <f t="shared" si="30"/>
        <v>85.754688</v>
      </c>
      <c r="F259" s="32">
        <f t="shared" si="25"/>
        <v>101.19053183999999</v>
      </c>
      <c r="G259" s="80">
        <f t="shared" si="27"/>
        <v>113.41057487999998</v>
      </c>
      <c r="H259" s="19">
        <f t="shared" si="28"/>
        <v>133.82447835839997</v>
      </c>
      <c r="I259" s="74">
        <v>0.8</v>
      </c>
      <c r="J259" s="21"/>
      <c r="K259" s="57">
        <f t="shared" si="31"/>
        <v>85.754688</v>
      </c>
      <c r="L259" s="32">
        <f t="shared" si="26"/>
        <v>101.19053183999999</v>
      </c>
      <c r="M259" s="80">
        <f t="shared" si="24"/>
        <v>462.00000000000006</v>
      </c>
      <c r="N259" s="19">
        <f t="shared" si="29"/>
        <v>545.1600000000001</v>
      </c>
    </row>
    <row r="260" spans="1:14" ht="12.75">
      <c r="A260" s="330" t="s">
        <v>330</v>
      </c>
      <c r="B260" s="565" t="s">
        <v>557</v>
      </c>
      <c r="C260" s="8">
        <v>0.8</v>
      </c>
      <c r="D260" s="21"/>
      <c r="E260" s="57">
        <f t="shared" si="30"/>
        <v>85.754688</v>
      </c>
      <c r="F260" s="32">
        <f t="shared" si="25"/>
        <v>101.19053183999999</v>
      </c>
      <c r="G260" s="80">
        <f t="shared" si="27"/>
        <v>113.41057487999998</v>
      </c>
      <c r="H260" s="19">
        <f t="shared" si="28"/>
        <v>133.82447835839997</v>
      </c>
      <c r="I260" s="74">
        <v>0.8</v>
      </c>
      <c r="J260" s="21"/>
      <c r="K260" s="57">
        <f t="shared" si="31"/>
        <v>85.754688</v>
      </c>
      <c r="L260" s="32">
        <f t="shared" si="26"/>
        <v>101.19053183999999</v>
      </c>
      <c r="M260" s="80">
        <f t="shared" si="24"/>
        <v>462.00000000000006</v>
      </c>
      <c r="N260" s="19">
        <f t="shared" si="29"/>
        <v>545.1600000000001</v>
      </c>
    </row>
    <row r="261" spans="1:14" ht="12.75">
      <c r="A261" s="330" t="s">
        <v>331</v>
      </c>
      <c r="B261" s="565" t="s">
        <v>2524</v>
      </c>
      <c r="C261" s="8">
        <v>0.8</v>
      </c>
      <c r="D261" s="21"/>
      <c r="E261" s="57">
        <f t="shared" si="30"/>
        <v>85.754688</v>
      </c>
      <c r="F261" s="32">
        <f t="shared" si="25"/>
        <v>101.19053183999999</v>
      </c>
      <c r="G261" s="80">
        <f t="shared" si="27"/>
        <v>113.41057487999998</v>
      </c>
      <c r="H261" s="19">
        <f t="shared" si="28"/>
        <v>133.82447835839997</v>
      </c>
      <c r="I261" s="74">
        <v>0.8</v>
      </c>
      <c r="J261" s="21"/>
      <c r="K261" s="57">
        <f t="shared" si="31"/>
        <v>85.754688</v>
      </c>
      <c r="L261" s="32">
        <f t="shared" si="26"/>
        <v>101.19053183999999</v>
      </c>
      <c r="M261" s="80">
        <f t="shared" si="24"/>
        <v>462.00000000000006</v>
      </c>
      <c r="N261" s="19">
        <f t="shared" si="29"/>
        <v>545.1600000000001</v>
      </c>
    </row>
    <row r="262" spans="1:14" ht="12.75">
      <c r="A262" s="330" t="s">
        <v>332</v>
      </c>
      <c r="B262" s="565" t="s">
        <v>1102</v>
      </c>
      <c r="C262" s="8">
        <v>0.8</v>
      </c>
      <c r="D262" s="21"/>
      <c r="E262" s="57">
        <f t="shared" si="30"/>
        <v>85.754688</v>
      </c>
      <c r="F262" s="32">
        <f t="shared" si="25"/>
        <v>101.19053183999999</v>
      </c>
      <c r="G262" s="80">
        <f t="shared" si="27"/>
        <v>113.41057487999998</v>
      </c>
      <c r="H262" s="19">
        <f t="shared" si="28"/>
        <v>133.82447835839997</v>
      </c>
      <c r="I262" s="74">
        <v>0.8</v>
      </c>
      <c r="J262" s="21"/>
      <c r="K262" s="57">
        <f t="shared" si="31"/>
        <v>85.754688</v>
      </c>
      <c r="L262" s="32">
        <f t="shared" si="26"/>
        <v>101.19053183999999</v>
      </c>
      <c r="M262" s="80">
        <f t="shared" si="24"/>
        <v>462.00000000000006</v>
      </c>
      <c r="N262" s="19">
        <f t="shared" si="29"/>
        <v>545.1600000000001</v>
      </c>
    </row>
    <row r="263" spans="1:14" ht="12.75">
      <c r="A263" s="330" t="s">
        <v>2364</v>
      </c>
      <c r="B263" s="565" t="s">
        <v>1080</v>
      </c>
      <c r="C263" s="8">
        <v>0.8</v>
      </c>
      <c r="D263" s="21"/>
      <c r="E263" s="57">
        <f t="shared" si="30"/>
        <v>85.754688</v>
      </c>
      <c r="F263" s="32">
        <f t="shared" si="25"/>
        <v>101.19053183999999</v>
      </c>
      <c r="G263" s="80">
        <f t="shared" si="27"/>
        <v>113.41057487999998</v>
      </c>
      <c r="H263" s="19">
        <f t="shared" si="28"/>
        <v>133.82447835839997</v>
      </c>
      <c r="I263" s="74">
        <v>0.8</v>
      </c>
      <c r="J263" s="21"/>
      <c r="K263" s="57">
        <f t="shared" si="31"/>
        <v>85.754688</v>
      </c>
      <c r="L263" s="32">
        <f t="shared" si="26"/>
        <v>101.19053183999999</v>
      </c>
      <c r="M263" s="80">
        <f t="shared" si="24"/>
        <v>462.00000000000006</v>
      </c>
      <c r="N263" s="19">
        <f t="shared" si="29"/>
        <v>545.1600000000001</v>
      </c>
    </row>
    <row r="264" spans="1:14" ht="12.75">
      <c r="A264" s="330" t="s">
        <v>2365</v>
      </c>
      <c r="B264" s="565" t="s">
        <v>2525</v>
      </c>
      <c r="C264" s="8">
        <v>0.8</v>
      </c>
      <c r="D264" s="21"/>
      <c r="E264" s="57">
        <f>C264*97.36*1.101</f>
        <v>85.754688</v>
      </c>
      <c r="F264" s="32">
        <f>E264*1.18</f>
        <v>101.19053183999999</v>
      </c>
      <c r="G264" s="80">
        <f>E264*1.15*1.15</f>
        <v>113.41057487999998</v>
      </c>
      <c r="H264" s="19">
        <f>G264*1.18</f>
        <v>133.82447835839997</v>
      </c>
      <c r="I264" s="74">
        <v>0.8</v>
      </c>
      <c r="J264" s="21"/>
      <c r="K264" s="57">
        <f>I264*97.36*1.101</f>
        <v>85.754688</v>
      </c>
      <c r="L264" s="32">
        <f>K264*1.18</f>
        <v>101.19053183999999</v>
      </c>
      <c r="M264" s="80">
        <f t="shared" si="24"/>
        <v>462.00000000000006</v>
      </c>
      <c r="N264" s="19">
        <f>M264*1.18</f>
        <v>545.1600000000001</v>
      </c>
    </row>
    <row r="265" spans="1:14" ht="14.25" customHeight="1">
      <c r="A265" s="330" t="s">
        <v>3283</v>
      </c>
      <c r="B265" s="26" t="s">
        <v>3284</v>
      </c>
      <c r="C265" s="15"/>
      <c r="D265" s="23"/>
      <c r="E265" s="57"/>
      <c r="F265" s="32"/>
      <c r="G265" s="37"/>
      <c r="H265" s="37"/>
      <c r="I265" s="74">
        <v>0.8</v>
      </c>
      <c r="J265" s="23"/>
      <c r="K265" s="57"/>
      <c r="L265" s="32"/>
      <c r="M265" s="80">
        <f t="shared" si="24"/>
        <v>462.00000000000006</v>
      </c>
      <c r="N265" s="19">
        <f>M265*1.18</f>
        <v>545.1600000000001</v>
      </c>
    </row>
    <row r="266" spans="1:14" ht="12.75">
      <c r="A266" s="330" t="s">
        <v>3285</v>
      </c>
      <c r="B266" s="26" t="s">
        <v>3286</v>
      </c>
      <c r="C266" s="15"/>
      <c r="D266" s="23"/>
      <c r="E266" s="57"/>
      <c r="F266" s="32"/>
      <c r="G266" s="37"/>
      <c r="H266" s="37"/>
      <c r="I266" s="74">
        <v>0.8</v>
      </c>
      <c r="J266" s="23"/>
      <c r="K266" s="57"/>
      <c r="L266" s="32"/>
      <c r="M266" s="80">
        <f t="shared" si="24"/>
        <v>462.00000000000006</v>
      </c>
      <c r="N266" s="19">
        <f>M266*1.18</f>
        <v>545.1600000000001</v>
      </c>
    </row>
    <row r="267" spans="1:14" ht="12.75">
      <c r="A267" s="566"/>
      <c r="B267" s="255" t="s">
        <v>587</v>
      </c>
      <c r="C267" s="8">
        <v>2</v>
      </c>
      <c r="D267" s="24">
        <v>198.9</v>
      </c>
      <c r="E267" s="57">
        <f t="shared" si="22"/>
        <v>214.38672</v>
      </c>
      <c r="F267" s="32">
        <f t="shared" si="25"/>
        <v>252.97632959999999</v>
      </c>
      <c r="G267" s="80">
        <f t="shared" si="27"/>
        <v>283.5264371999999</v>
      </c>
      <c r="H267" s="19">
        <f t="shared" si="28"/>
        <v>334.5611958959999</v>
      </c>
      <c r="I267" s="74">
        <v>2</v>
      </c>
      <c r="J267" s="24">
        <v>198.9</v>
      </c>
      <c r="K267" s="57">
        <f>I267*97.36*1.101</f>
        <v>214.38672</v>
      </c>
      <c r="L267" s="32">
        <f t="shared" si="26"/>
        <v>252.97632959999999</v>
      </c>
      <c r="M267" s="80">
        <f>318.54*1.1*1.1</f>
        <v>385.4334000000001</v>
      </c>
      <c r="N267" s="19">
        <f t="shared" si="29"/>
        <v>454.81141200000013</v>
      </c>
    </row>
    <row r="268" spans="1:14" ht="12.75">
      <c r="A268" s="566"/>
      <c r="B268" s="255" t="s">
        <v>588</v>
      </c>
      <c r="C268" s="8">
        <v>1</v>
      </c>
      <c r="D268" s="24">
        <v>99.45</v>
      </c>
      <c r="E268" s="57">
        <f t="shared" si="22"/>
        <v>107.19336</v>
      </c>
      <c r="F268" s="32">
        <f t="shared" si="25"/>
        <v>126.48816479999999</v>
      </c>
      <c r="G268" s="80">
        <f t="shared" si="27"/>
        <v>141.76321859999996</v>
      </c>
      <c r="H268" s="19">
        <f t="shared" si="28"/>
        <v>167.28059794799995</v>
      </c>
      <c r="I268" s="74">
        <v>1</v>
      </c>
      <c r="J268" s="24">
        <v>99.45</v>
      </c>
      <c r="K268" s="57">
        <f>I268*97.36*1.101</f>
        <v>107.19336</v>
      </c>
      <c r="L268" s="32">
        <f t="shared" si="26"/>
        <v>126.48816479999999</v>
      </c>
      <c r="M268" s="80">
        <f>159.27*1.1*1.1</f>
        <v>192.71670000000006</v>
      </c>
      <c r="N268" s="19">
        <f t="shared" si="29"/>
        <v>227.40570600000007</v>
      </c>
    </row>
    <row r="271" spans="2:10" ht="12.75" customHeight="1">
      <c r="B271" s="79"/>
      <c r="C271" s="202"/>
      <c r="J271"/>
    </row>
    <row r="272" spans="1:13" s="385" customFormat="1" ht="19.5" customHeight="1">
      <c r="A272" s="625"/>
      <c r="B272" s="340" t="s">
        <v>2819</v>
      </c>
      <c r="C272" s="437"/>
      <c r="D272" s="438"/>
      <c r="E272" s="297"/>
      <c r="F272" s="297"/>
      <c r="G272" s="437"/>
      <c r="H272" s="626" t="s">
        <v>2478</v>
      </c>
      <c r="I272" s="202"/>
      <c r="J272" s="217"/>
      <c r="K272" s="53"/>
      <c r="L272" s="627"/>
      <c r="M272" s="138" t="s">
        <v>2820</v>
      </c>
    </row>
    <row r="273" spans="3:10" ht="12.75">
      <c r="C273" s="202"/>
      <c r="I273"/>
      <c r="J273"/>
    </row>
    <row r="274" spans="3:10" ht="12.75">
      <c r="C274" s="202"/>
      <c r="I274"/>
      <c r="J274"/>
    </row>
    <row r="275" ht="12.75">
      <c r="C275" s="42"/>
    </row>
    <row r="276" spans="3:14" ht="12.75">
      <c r="C276" s="42"/>
      <c r="N276" s="109"/>
    </row>
  </sheetData>
  <sheetProtection/>
  <mergeCells count="8">
    <mergeCell ref="B20:N20"/>
    <mergeCell ref="B216:N216"/>
    <mergeCell ref="A12:N12"/>
    <mergeCell ref="A13:N13"/>
    <mergeCell ref="A14:N14"/>
    <mergeCell ref="A19:N19"/>
    <mergeCell ref="A15:N15"/>
    <mergeCell ref="B54:N54"/>
  </mergeCells>
  <printOptions/>
  <pageMargins left="0.92" right="0.51" top="0.57" bottom="0.6"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I158"/>
  <sheetViews>
    <sheetView zoomScalePageLayoutView="0" workbookViewId="0" topLeftCell="A1">
      <selection activeCell="K20" sqref="K20"/>
    </sheetView>
  </sheetViews>
  <sheetFormatPr defaultColWidth="9.00390625" defaultRowHeight="12.75"/>
  <cols>
    <col min="1" max="1" width="7.625" style="99" customWidth="1"/>
    <col min="2" max="2" width="55.75390625" style="99" customWidth="1"/>
    <col min="3" max="3" width="14.625" style="99" hidden="1" customWidth="1"/>
    <col min="4" max="4" width="7.375" style="99" hidden="1" customWidth="1"/>
    <col min="5" max="5" width="10.75390625" style="213" hidden="1" customWidth="1"/>
    <col min="6" max="6" width="13.00390625" style="99" customWidth="1"/>
    <col min="7" max="7" width="13.625" style="99" customWidth="1"/>
    <col min="8" max="16384" width="9.125" style="22" customWidth="1"/>
  </cols>
  <sheetData>
    <row r="1" spans="1:7" ht="12.75">
      <c r="A1" s="2"/>
      <c r="B1" s="11"/>
      <c r="C1" s="6"/>
      <c r="D1" s="2"/>
      <c r="E1" s="1"/>
      <c r="F1" s="117"/>
      <c r="G1" s="4" t="s">
        <v>2473</v>
      </c>
    </row>
    <row r="2" spans="1:7" ht="12.75">
      <c r="A2" s="2"/>
      <c r="B2" s="11"/>
      <c r="C2" s="6"/>
      <c r="D2" s="2"/>
      <c r="E2" s="1"/>
      <c r="F2" s="117"/>
      <c r="G2" s="81" t="s">
        <v>2822</v>
      </c>
    </row>
    <row r="3" spans="1:7" ht="12.75">
      <c r="A3" s="2"/>
      <c r="B3" s="11"/>
      <c r="C3" s="6"/>
      <c r="D3" s="2"/>
      <c r="E3" s="1"/>
      <c r="F3" s="117"/>
      <c r="G3" s="81" t="s">
        <v>3556</v>
      </c>
    </row>
    <row r="4" spans="1:7" ht="12.75">
      <c r="A4" s="11"/>
      <c r="B4" s="6"/>
      <c r="C4" s="2"/>
      <c r="D4" s="2"/>
      <c r="E4" s="212"/>
      <c r="F4" s="47"/>
      <c r="G4" s="81"/>
    </row>
    <row r="5" spans="1:7" ht="12.75">
      <c r="A5" s="2"/>
      <c r="B5" s="11"/>
      <c r="C5" s="6"/>
      <c r="D5" s="2"/>
      <c r="E5" s="1"/>
      <c r="F5" s="117"/>
      <c r="G5" s="52"/>
    </row>
    <row r="6" spans="1:7" ht="12.75">
      <c r="A6" s="2"/>
      <c r="B6" s="11"/>
      <c r="C6" s="6"/>
      <c r="D6" s="2"/>
      <c r="E6" s="1"/>
      <c r="F6" s="117"/>
      <c r="G6" s="52"/>
    </row>
    <row r="7" spans="1:7" ht="15" customHeight="1">
      <c r="A7" s="897" t="s">
        <v>3551</v>
      </c>
      <c r="B7" s="897"/>
      <c r="C7" s="897"/>
      <c r="D7" s="897"/>
      <c r="E7" s="897"/>
      <c r="F7" s="897"/>
      <c r="G7" s="897"/>
    </row>
    <row r="8" spans="1:7" ht="15" customHeight="1">
      <c r="A8" s="897" t="s">
        <v>2823</v>
      </c>
      <c r="B8" s="897"/>
      <c r="C8" s="897"/>
      <c r="D8" s="897"/>
      <c r="E8" s="897"/>
      <c r="F8" s="897"/>
      <c r="G8" s="897"/>
    </row>
    <row r="9" spans="1:7" ht="15" customHeight="1">
      <c r="A9" s="898" t="s">
        <v>1161</v>
      </c>
      <c r="B9" s="898"/>
      <c r="C9" s="898"/>
      <c r="D9" s="898"/>
      <c r="E9" s="898"/>
      <c r="F9" s="898"/>
      <c r="G9" s="898"/>
    </row>
    <row r="10" spans="1:7" ht="15.75">
      <c r="A10" s="899" t="s">
        <v>3553</v>
      </c>
      <c r="B10" s="899"/>
      <c r="C10" s="899"/>
      <c r="D10" s="899"/>
      <c r="E10" s="899"/>
      <c r="F10" s="899"/>
      <c r="G10" s="899"/>
    </row>
    <row r="12" spans="1:7" ht="31.5" customHeight="1">
      <c r="A12" s="25" t="s">
        <v>2522</v>
      </c>
      <c r="B12" s="519" t="s">
        <v>779</v>
      </c>
      <c r="C12" s="519" t="s">
        <v>340</v>
      </c>
      <c r="D12" s="25"/>
      <c r="E12" s="520" t="s">
        <v>780</v>
      </c>
      <c r="F12" s="520" t="s">
        <v>336</v>
      </c>
      <c r="G12" s="520" t="s">
        <v>669</v>
      </c>
    </row>
    <row r="13" spans="1:7" ht="13.5" customHeight="1">
      <c r="A13" s="447">
        <v>1</v>
      </c>
      <c r="B13" s="519">
        <v>2</v>
      </c>
      <c r="C13" s="519"/>
      <c r="D13" s="447"/>
      <c r="E13" s="521">
        <v>3</v>
      </c>
      <c r="F13" s="521">
        <v>3</v>
      </c>
      <c r="G13" s="521">
        <v>4</v>
      </c>
    </row>
    <row r="14" spans="1:7" ht="18.75" customHeight="1">
      <c r="A14" s="962" t="s">
        <v>1714</v>
      </c>
      <c r="B14" s="962"/>
      <c r="C14" s="962"/>
      <c r="D14" s="962"/>
      <c r="E14" s="962"/>
      <c r="F14" s="962"/>
      <c r="G14" s="962"/>
    </row>
    <row r="15" spans="1:7" s="227" customFormat="1" ht="14.25" customHeight="1">
      <c r="A15" s="472" t="s">
        <v>1716</v>
      </c>
      <c r="B15" s="963" t="s">
        <v>1717</v>
      </c>
      <c r="C15" s="963"/>
      <c r="D15" s="963"/>
      <c r="E15" s="963"/>
      <c r="F15" s="963"/>
      <c r="G15" s="963"/>
    </row>
    <row r="16" spans="1:7" s="227" customFormat="1" ht="14.25" customHeight="1">
      <c r="A16" s="26" t="s">
        <v>2523</v>
      </c>
      <c r="B16" s="255" t="s">
        <v>2531</v>
      </c>
      <c r="C16" s="519"/>
      <c r="D16" s="519"/>
      <c r="E16" s="519"/>
      <c r="F16" s="107">
        <f>36.63*1.1*1.1</f>
        <v>44.32230000000001</v>
      </c>
      <c r="G16" s="107">
        <f>F16*18/100+F16</f>
        <v>52.300314000000014</v>
      </c>
    </row>
    <row r="17" spans="1:7" s="227" customFormat="1" ht="14.25" customHeight="1">
      <c r="A17" s="107" t="s">
        <v>3522</v>
      </c>
      <c r="B17" s="255" t="s">
        <v>3523</v>
      </c>
      <c r="C17" s="519"/>
      <c r="D17" s="519"/>
      <c r="E17" s="519"/>
      <c r="F17" s="107">
        <f>22.89*1.1*1.1</f>
        <v>27.696900000000003</v>
      </c>
      <c r="G17" s="107">
        <f>F17*18/100+F17</f>
        <v>32.682342000000006</v>
      </c>
    </row>
    <row r="18" spans="1:7" s="227" customFormat="1" ht="14.25" customHeight="1">
      <c r="A18" s="26" t="s">
        <v>3524</v>
      </c>
      <c r="B18" s="255" t="s">
        <v>3525</v>
      </c>
      <c r="C18" s="519"/>
      <c r="D18" s="519"/>
      <c r="E18" s="519"/>
      <c r="F18" s="107">
        <f>54.95*1.1*1.1</f>
        <v>66.4895</v>
      </c>
      <c r="G18" s="107">
        <f>F18*18/100+F18</f>
        <v>78.45761</v>
      </c>
    </row>
    <row r="19" spans="1:7" ht="12.75">
      <c r="A19" s="107" t="s">
        <v>3526</v>
      </c>
      <c r="B19" s="700" t="s">
        <v>3527</v>
      </c>
      <c r="C19" s="210">
        <v>7.5</v>
      </c>
      <c r="D19" s="26">
        <v>123.27</v>
      </c>
      <c r="E19" s="110">
        <v>0.87</v>
      </c>
      <c r="F19" s="107">
        <f>14.65*1.1*1.1</f>
        <v>17.726500000000005</v>
      </c>
      <c r="G19" s="107">
        <f>F19*18/100+F19</f>
        <v>20.917270000000006</v>
      </c>
    </row>
    <row r="20" spans="1:7" s="227" customFormat="1" ht="15" customHeight="1">
      <c r="A20" s="472" t="s">
        <v>1718</v>
      </c>
      <c r="B20" s="965" t="s">
        <v>1719</v>
      </c>
      <c r="C20" s="966"/>
      <c r="D20" s="966"/>
      <c r="E20" s="966"/>
      <c r="F20" s="966"/>
      <c r="G20" s="967"/>
    </row>
    <row r="21" spans="1:7" ht="12.75">
      <c r="A21" s="26" t="s">
        <v>2207</v>
      </c>
      <c r="B21" s="384" t="s">
        <v>341</v>
      </c>
      <c r="C21" s="210">
        <v>10</v>
      </c>
      <c r="D21" s="26">
        <v>123.27</v>
      </c>
      <c r="E21" s="110">
        <f>1*C21/60</f>
        <v>0.16666666666666666</v>
      </c>
      <c r="F21" s="107">
        <f>30.53*1.1*1.1</f>
        <v>36.94130000000001</v>
      </c>
      <c r="G21" s="107">
        <f>F21*18/100+F21</f>
        <v>43.59073400000001</v>
      </c>
    </row>
    <row r="22" spans="1:9" ht="12.75">
      <c r="A22" s="522" t="s">
        <v>2208</v>
      </c>
      <c r="B22" s="384" t="s">
        <v>342</v>
      </c>
      <c r="C22" s="210">
        <v>16</v>
      </c>
      <c r="D22" s="26">
        <v>123.27</v>
      </c>
      <c r="E22" s="110">
        <f>1*C22/60</f>
        <v>0.26666666666666666</v>
      </c>
      <c r="F22" s="107">
        <f>48.84*1.1*1.1</f>
        <v>59.09640000000002</v>
      </c>
      <c r="G22" s="107">
        <f>F22*18/100+F22</f>
        <v>69.73375200000002</v>
      </c>
      <c r="I22" s="779">
        <f>F16+F17+F19+F102</f>
        <v>163.61620000000002</v>
      </c>
    </row>
    <row r="23" spans="1:7" ht="12.75">
      <c r="A23" s="107" t="s">
        <v>2209</v>
      </c>
      <c r="B23" s="384" t="s">
        <v>343</v>
      </c>
      <c r="C23" s="210">
        <v>16</v>
      </c>
      <c r="D23" s="26">
        <v>123.27</v>
      </c>
      <c r="E23" s="110">
        <f>1*C23/60</f>
        <v>0.26666666666666666</v>
      </c>
      <c r="F23" s="107">
        <f>48.84*1.1*1.1</f>
        <v>59.09640000000002</v>
      </c>
      <c r="G23" s="107">
        <f>F23*18/100+F23</f>
        <v>69.73375200000002</v>
      </c>
    </row>
    <row r="24" spans="1:7" s="227" customFormat="1" ht="15" customHeight="1">
      <c r="A24" s="472" t="s">
        <v>1720</v>
      </c>
      <c r="B24" s="963" t="s">
        <v>1721</v>
      </c>
      <c r="C24" s="963"/>
      <c r="D24" s="963"/>
      <c r="E24" s="963"/>
      <c r="F24" s="963"/>
      <c r="G24" s="963"/>
    </row>
    <row r="25" spans="1:7" ht="12.75">
      <c r="A25" s="107" t="s">
        <v>1571</v>
      </c>
      <c r="B25" s="384" t="s">
        <v>342</v>
      </c>
      <c r="C25" s="210">
        <v>30</v>
      </c>
      <c r="D25" s="26">
        <v>123.27</v>
      </c>
      <c r="E25" s="110">
        <f>1*C25/60</f>
        <v>0.5</v>
      </c>
      <c r="F25" s="107">
        <f>91.58*1.1*1.1</f>
        <v>110.8118</v>
      </c>
      <c r="G25" s="107">
        <f>F25*18/100+F25</f>
        <v>130.757924</v>
      </c>
    </row>
    <row r="26" spans="1:7" ht="12.75">
      <c r="A26" s="107" t="s">
        <v>1572</v>
      </c>
      <c r="B26" s="384" t="s">
        <v>343</v>
      </c>
      <c r="C26" s="210">
        <v>25</v>
      </c>
      <c r="D26" s="26">
        <v>123.27</v>
      </c>
      <c r="E26" s="110">
        <f>1*C26/60</f>
        <v>0.4166666666666667</v>
      </c>
      <c r="F26" s="107">
        <f>76.32*1.1*1.1</f>
        <v>92.3472</v>
      </c>
      <c r="G26" s="107">
        <f>F26*18/100+F26</f>
        <v>108.969696</v>
      </c>
    </row>
    <row r="27" spans="1:7" s="118" customFormat="1" ht="12.75">
      <c r="A27" s="523" t="s">
        <v>1573</v>
      </c>
      <c r="B27" s="323" t="s">
        <v>344</v>
      </c>
      <c r="C27" s="21"/>
      <c r="D27" s="135"/>
      <c r="E27" s="33"/>
      <c r="F27" s="107"/>
      <c r="G27" s="523"/>
    </row>
    <row r="28" spans="1:7" s="118" customFormat="1" ht="12.75">
      <c r="A28" s="523" t="s">
        <v>1722</v>
      </c>
      <c r="B28" s="524" t="s">
        <v>345</v>
      </c>
      <c r="C28" s="21">
        <v>100</v>
      </c>
      <c r="D28" s="135">
        <v>123.27</v>
      </c>
      <c r="E28" s="33">
        <f aca="true" t="shared" si="0" ref="E28:E41">1*C28/60</f>
        <v>1.6666666666666667</v>
      </c>
      <c r="F28" s="107">
        <f>305.26*1.1*1.1</f>
        <v>369.36460000000005</v>
      </c>
      <c r="G28" s="523">
        <f aca="true" t="shared" si="1" ref="G28:G47">F28*18/100+F28</f>
        <v>435.8502280000001</v>
      </c>
    </row>
    <row r="29" spans="1:7" s="118" customFormat="1" ht="12.75">
      <c r="A29" s="523" t="s">
        <v>1723</v>
      </c>
      <c r="B29" s="524" t="s">
        <v>346</v>
      </c>
      <c r="C29" s="21">
        <v>50</v>
      </c>
      <c r="D29" s="135">
        <v>123.27</v>
      </c>
      <c r="E29" s="33">
        <f t="shared" si="0"/>
        <v>0.8333333333333334</v>
      </c>
      <c r="F29" s="107">
        <f>152.63*1.1*1.1</f>
        <v>184.68230000000003</v>
      </c>
      <c r="G29" s="523">
        <f t="shared" si="1"/>
        <v>217.92511400000004</v>
      </c>
    </row>
    <row r="30" spans="1:7" s="118" customFormat="1" ht="12.75">
      <c r="A30" s="523" t="s">
        <v>1574</v>
      </c>
      <c r="B30" s="525" t="s">
        <v>347</v>
      </c>
      <c r="C30" s="21">
        <v>100</v>
      </c>
      <c r="D30" s="135">
        <v>123.27</v>
      </c>
      <c r="E30" s="33"/>
      <c r="F30" s="107"/>
      <c r="G30" s="523"/>
    </row>
    <row r="31" spans="1:7" s="118" customFormat="1" ht="12.75">
      <c r="A31" s="523" t="s">
        <v>1724</v>
      </c>
      <c r="B31" s="524" t="s">
        <v>345</v>
      </c>
      <c r="C31" s="21">
        <v>100</v>
      </c>
      <c r="D31" s="135">
        <v>123.27</v>
      </c>
      <c r="E31" s="33">
        <f t="shared" si="0"/>
        <v>1.6666666666666667</v>
      </c>
      <c r="F31" s="107">
        <f>305.26*1.1*1.1</f>
        <v>369.36460000000005</v>
      </c>
      <c r="G31" s="523">
        <f t="shared" si="1"/>
        <v>435.8502280000001</v>
      </c>
    </row>
    <row r="32" spans="1:7" s="118" customFormat="1" ht="12.75">
      <c r="A32" s="523" t="s">
        <v>1725</v>
      </c>
      <c r="B32" s="524" t="s">
        <v>346</v>
      </c>
      <c r="C32" s="21">
        <v>50</v>
      </c>
      <c r="D32" s="135">
        <v>123.27</v>
      </c>
      <c r="E32" s="33">
        <f t="shared" si="0"/>
        <v>0.8333333333333334</v>
      </c>
      <c r="F32" s="107">
        <f>152.63*1.1*1.1</f>
        <v>184.68230000000003</v>
      </c>
      <c r="G32" s="523">
        <f t="shared" si="1"/>
        <v>217.92511400000004</v>
      </c>
    </row>
    <row r="33" spans="1:7" ht="12.75">
      <c r="A33" s="107" t="s">
        <v>1468</v>
      </c>
      <c r="B33" s="384" t="s">
        <v>348</v>
      </c>
      <c r="C33" s="210">
        <v>30</v>
      </c>
      <c r="D33" s="26">
        <v>123.27</v>
      </c>
      <c r="E33" s="110">
        <f t="shared" si="0"/>
        <v>0.5</v>
      </c>
      <c r="F33" s="107">
        <f>91.58*1.1*1.1</f>
        <v>110.8118</v>
      </c>
      <c r="G33" s="107">
        <f t="shared" si="1"/>
        <v>130.757924</v>
      </c>
    </row>
    <row r="34" spans="1:7" ht="12.75">
      <c r="A34" s="107" t="s">
        <v>1970</v>
      </c>
      <c r="B34" s="384" t="s">
        <v>349</v>
      </c>
      <c r="C34" s="210">
        <v>30</v>
      </c>
      <c r="D34" s="26">
        <v>123.27</v>
      </c>
      <c r="E34" s="110">
        <f t="shared" si="0"/>
        <v>0.5</v>
      </c>
      <c r="F34" s="107">
        <f>91.58*1.1*1.1</f>
        <v>110.8118</v>
      </c>
      <c r="G34" s="107">
        <f t="shared" si="1"/>
        <v>130.757924</v>
      </c>
    </row>
    <row r="35" spans="1:7" ht="12.75">
      <c r="A35" s="107" t="s">
        <v>777</v>
      </c>
      <c r="B35" s="384" t="s">
        <v>350</v>
      </c>
      <c r="C35" s="210">
        <v>25</v>
      </c>
      <c r="D35" s="26">
        <v>123.27</v>
      </c>
      <c r="E35" s="110">
        <f t="shared" si="0"/>
        <v>0.4166666666666667</v>
      </c>
      <c r="F35" s="107">
        <f>76.32*1.1*1.1</f>
        <v>92.3472</v>
      </c>
      <c r="G35" s="107">
        <f t="shared" si="1"/>
        <v>108.969696</v>
      </c>
    </row>
    <row r="36" spans="1:7" ht="12.75">
      <c r="A36" s="107" t="s">
        <v>778</v>
      </c>
      <c r="B36" s="384" t="s">
        <v>351</v>
      </c>
      <c r="C36" s="210">
        <v>30</v>
      </c>
      <c r="D36" s="26">
        <v>123.27</v>
      </c>
      <c r="E36" s="110">
        <f t="shared" si="0"/>
        <v>0.5</v>
      </c>
      <c r="F36" s="107">
        <f>91.58*1.1*1.1</f>
        <v>110.8118</v>
      </c>
      <c r="G36" s="107">
        <f t="shared" si="1"/>
        <v>130.757924</v>
      </c>
    </row>
    <row r="37" spans="1:7" ht="12.75">
      <c r="A37" s="107" t="s">
        <v>1726</v>
      </c>
      <c r="B37" s="384" t="s">
        <v>352</v>
      </c>
      <c r="C37" s="210">
        <v>15</v>
      </c>
      <c r="D37" s="26">
        <v>123.27</v>
      </c>
      <c r="E37" s="25">
        <f t="shared" si="0"/>
        <v>0.25</v>
      </c>
      <c r="F37" s="107">
        <f>45.79*1.1*1.1</f>
        <v>55.4059</v>
      </c>
      <c r="G37" s="107">
        <f t="shared" si="1"/>
        <v>65.378962</v>
      </c>
    </row>
    <row r="38" spans="1:7" ht="12.75">
      <c r="A38" s="107" t="s">
        <v>1727</v>
      </c>
      <c r="B38" s="384" t="s">
        <v>353</v>
      </c>
      <c r="C38" s="210">
        <v>30</v>
      </c>
      <c r="D38" s="26">
        <v>123.27</v>
      </c>
      <c r="E38" s="110">
        <f t="shared" si="0"/>
        <v>0.5</v>
      </c>
      <c r="F38" s="107">
        <f>91.58*1.1*1.1</f>
        <v>110.8118</v>
      </c>
      <c r="G38" s="107">
        <f t="shared" si="1"/>
        <v>130.757924</v>
      </c>
    </row>
    <row r="39" spans="1:7" ht="12.75">
      <c r="A39" s="107" t="s">
        <v>1728</v>
      </c>
      <c r="B39" s="384" t="s">
        <v>354</v>
      </c>
      <c r="C39" s="210">
        <v>30</v>
      </c>
      <c r="D39" s="26">
        <v>123.27</v>
      </c>
      <c r="E39" s="110">
        <f t="shared" si="0"/>
        <v>0.5</v>
      </c>
      <c r="F39" s="107">
        <f>91.58*1.1*1.1</f>
        <v>110.8118</v>
      </c>
      <c r="G39" s="107">
        <f t="shared" si="1"/>
        <v>130.757924</v>
      </c>
    </row>
    <row r="40" spans="1:7" ht="12.75">
      <c r="A40" s="107" t="s">
        <v>1729</v>
      </c>
      <c r="B40" s="384" t="s">
        <v>590</v>
      </c>
      <c r="C40" s="210">
        <v>30</v>
      </c>
      <c r="D40" s="26">
        <v>123.27</v>
      </c>
      <c r="E40" s="110">
        <f t="shared" si="0"/>
        <v>0.5</v>
      </c>
      <c r="F40" s="107">
        <f>91.58*1.1*1.1</f>
        <v>110.8118</v>
      </c>
      <c r="G40" s="107">
        <f t="shared" si="1"/>
        <v>130.757924</v>
      </c>
    </row>
    <row r="41" spans="1:7" ht="12.75">
      <c r="A41" s="107" t="s">
        <v>1730</v>
      </c>
      <c r="B41" s="384" t="s">
        <v>591</v>
      </c>
      <c r="C41" s="210">
        <v>30</v>
      </c>
      <c r="D41" s="26">
        <v>123.27</v>
      </c>
      <c r="E41" s="110">
        <f t="shared" si="0"/>
        <v>0.5</v>
      </c>
      <c r="F41" s="107">
        <f>91.58*1.1*1.1</f>
        <v>110.8118</v>
      </c>
      <c r="G41" s="107">
        <f t="shared" si="1"/>
        <v>130.757924</v>
      </c>
    </row>
    <row r="42" spans="1:7" s="119" customFormat="1" ht="12.75">
      <c r="A42" s="107" t="s">
        <v>1731</v>
      </c>
      <c r="B42" s="384" t="s">
        <v>592</v>
      </c>
      <c r="C42" s="210">
        <v>60</v>
      </c>
      <c r="D42" s="26">
        <v>123.27</v>
      </c>
      <c r="E42" s="110">
        <v>1.705</v>
      </c>
      <c r="F42" s="107">
        <f>312.28*1.1*1.1</f>
        <v>377.85880000000003</v>
      </c>
      <c r="G42" s="107">
        <f t="shared" si="1"/>
        <v>445.87338400000004</v>
      </c>
    </row>
    <row r="43" spans="1:7" ht="12.75">
      <c r="A43" s="107" t="s">
        <v>1732</v>
      </c>
      <c r="B43" s="384" t="s">
        <v>593</v>
      </c>
      <c r="C43" s="210">
        <v>20</v>
      </c>
      <c r="D43" s="26">
        <v>123.27</v>
      </c>
      <c r="E43" s="110">
        <f>1*C43/60</f>
        <v>0.3333333333333333</v>
      </c>
      <c r="F43" s="107">
        <f>61.05*1.1*1.1</f>
        <v>73.8705</v>
      </c>
      <c r="G43" s="107">
        <f t="shared" si="1"/>
        <v>87.16719</v>
      </c>
    </row>
    <row r="44" spans="1:7" s="119" customFormat="1" ht="12.75">
      <c r="A44" s="107" t="s">
        <v>1733</v>
      </c>
      <c r="B44" s="384" t="s">
        <v>594</v>
      </c>
      <c r="C44" s="210">
        <v>20</v>
      </c>
      <c r="D44" s="26">
        <v>123.27</v>
      </c>
      <c r="E44" s="110">
        <v>1</v>
      </c>
      <c r="F44" s="107">
        <f>183.16*1.1*1.1</f>
        <v>221.6236</v>
      </c>
      <c r="G44" s="107">
        <f>F44*18/100+F44</f>
        <v>261.515848</v>
      </c>
    </row>
    <row r="45" spans="1:7" ht="12.75">
      <c r="A45" s="107" t="s">
        <v>1734</v>
      </c>
      <c r="B45" s="384" t="s">
        <v>595</v>
      </c>
      <c r="C45" s="210">
        <v>120</v>
      </c>
      <c r="D45" s="26">
        <v>123.27</v>
      </c>
      <c r="E45" s="110">
        <f>1*C45/60</f>
        <v>2</v>
      </c>
      <c r="F45" s="107">
        <f>366.32*1.1*1.1</f>
        <v>443.2472</v>
      </c>
      <c r="G45" s="107">
        <f t="shared" si="1"/>
        <v>523.031696</v>
      </c>
    </row>
    <row r="46" spans="1:7" ht="12.75">
      <c r="A46" s="107" t="s">
        <v>1735</v>
      </c>
      <c r="B46" s="384" t="s">
        <v>596</v>
      </c>
      <c r="C46" s="210">
        <v>100</v>
      </c>
      <c r="D46" s="107">
        <v>123.27</v>
      </c>
      <c r="E46" s="110">
        <f>1*C46/60</f>
        <v>1.6666666666666667</v>
      </c>
      <c r="F46" s="107">
        <f>305.26*1.1*1.1</f>
        <v>369.36460000000005</v>
      </c>
      <c r="G46" s="107">
        <f t="shared" si="1"/>
        <v>435.8502280000001</v>
      </c>
    </row>
    <row r="47" spans="1:7" ht="12.75">
      <c r="A47" s="107" t="s">
        <v>1736</v>
      </c>
      <c r="B47" s="384" t="s">
        <v>562</v>
      </c>
      <c r="C47" s="210" t="s">
        <v>597</v>
      </c>
      <c r="D47" s="107">
        <v>123.27</v>
      </c>
      <c r="E47" s="25">
        <f>1*C47/60</f>
        <v>0.25</v>
      </c>
      <c r="F47" s="107">
        <f>45.79*1.1*1.1</f>
        <v>55.4059</v>
      </c>
      <c r="G47" s="107">
        <f t="shared" si="1"/>
        <v>65.378962</v>
      </c>
    </row>
    <row r="48" spans="1:7" s="227" customFormat="1" ht="15" customHeight="1">
      <c r="A48" s="472" t="s">
        <v>1742</v>
      </c>
      <c r="B48" s="963" t="s">
        <v>1743</v>
      </c>
      <c r="C48" s="963"/>
      <c r="D48" s="963"/>
      <c r="E48" s="963"/>
      <c r="F48" s="963"/>
      <c r="G48" s="963"/>
    </row>
    <row r="49" spans="1:7" s="118" customFormat="1" ht="25.5">
      <c r="A49" s="107" t="s">
        <v>1469</v>
      </c>
      <c r="B49" s="349" t="s">
        <v>598</v>
      </c>
      <c r="C49" s="211">
        <v>40</v>
      </c>
      <c r="D49" s="107">
        <v>123.27</v>
      </c>
      <c r="E49" s="110">
        <f aca="true" t="shared" si="2" ref="E49:E64">1*C49/60</f>
        <v>0.6666666666666666</v>
      </c>
      <c r="F49" s="107">
        <f>122.11*1.1*1.1</f>
        <v>147.75310000000002</v>
      </c>
      <c r="G49" s="107">
        <f aca="true" t="shared" si="3" ref="G49:G64">F49*18/100+F49</f>
        <v>174.34865800000003</v>
      </c>
    </row>
    <row r="50" spans="1:7" s="118" customFormat="1" ht="25.5">
      <c r="A50" s="107" t="s">
        <v>1470</v>
      </c>
      <c r="B50" s="349" t="s">
        <v>599</v>
      </c>
      <c r="C50" s="211">
        <v>40</v>
      </c>
      <c r="D50" s="107">
        <v>123.27</v>
      </c>
      <c r="E50" s="110">
        <f t="shared" si="2"/>
        <v>0.6666666666666666</v>
      </c>
      <c r="F50" s="107">
        <f>122.11*1.1*1.1</f>
        <v>147.75310000000002</v>
      </c>
      <c r="G50" s="107">
        <f t="shared" si="3"/>
        <v>174.34865800000003</v>
      </c>
    </row>
    <row r="51" spans="1:7" s="118" customFormat="1" ht="25.5">
      <c r="A51" s="107" t="s">
        <v>2598</v>
      </c>
      <c r="B51" s="349" t="s">
        <v>1850</v>
      </c>
      <c r="C51" s="211">
        <v>40</v>
      </c>
      <c r="D51" s="107">
        <v>123.27</v>
      </c>
      <c r="E51" s="110">
        <f t="shared" si="2"/>
        <v>0.6666666666666666</v>
      </c>
      <c r="F51" s="107">
        <f>122.11*1.1*1.1</f>
        <v>147.75310000000002</v>
      </c>
      <c r="G51" s="107">
        <f t="shared" si="3"/>
        <v>174.34865800000003</v>
      </c>
    </row>
    <row r="52" spans="1:7" s="118" customFormat="1" ht="25.5">
      <c r="A52" s="107" t="s">
        <v>1451</v>
      </c>
      <c r="B52" s="349" t="s">
        <v>1851</v>
      </c>
      <c r="C52" s="211">
        <v>40</v>
      </c>
      <c r="D52" s="107">
        <v>123.27</v>
      </c>
      <c r="E52" s="110">
        <f t="shared" si="2"/>
        <v>0.6666666666666666</v>
      </c>
      <c r="F52" s="107">
        <f>122.11*1.1*1.1</f>
        <v>147.75310000000002</v>
      </c>
      <c r="G52" s="107">
        <f>F52*18/100+F52</f>
        <v>174.34865800000003</v>
      </c>
    </row>
    <row r="53" spans="1:7" s="118" customFormat="1" ht="12.75">
      <c r="A53" s="107" t="s">
        <v>1452</v>
      </c>
      <c r="B53" s="349" t="s">
        <v>1852</v>
      </c>
      <c r="C53" s="211">
        <v>40</v>
      </c>
      <c r="D53" s="107">
        <v>123.27</v>
      </c>
      <c r="E53" s="110">
        <f t="shared" si="2"/>
        <v>0.6666666666666666</v>
      </c>
      <c r="F53" s="107">
        <f>122.11*1.1*1.1</f>
        <v>147.75310000000002</v>
      </c>
      <c r="G53" s="107">
        <f t="shared" si="3"/>
        <v>174.34865800000003</v>
      </c>
    </row>
    <row r="54" spans="1:7" s="118" customFormat="1" ht="12.75">
      <c r="A54" s="107" t="s">
        <v>842</v>
      </c>
      <c r="B54" s="349" t="s">
        <v>1853</v>
      </c>
      <c r="C54" s="211">
        <v>25</v>
      </c>
      <c r="D54" s="107">
        <v>123.27</v>
      </c>
      <c r="E54" s="110">
        <f t="shared" si="2"/>
        <v>0.4166666666666667</v>
      </c>
      <c r="F54" s="107">
        <f>76.32*1.1*1.1</f>
        <v>92.3472</v>
      </c>
      <c r="G54" s="107">
        <f t="shared" si="3"/>
        <v>108.969696</v>
      </c>
    </row>
    <row r="55" spans="1:7" s="118" customFormat="1" ht="12.75">
      <c r="A55" s="107" t="s">
        <v>843</v>
      </c>
      <c r="B55" s="526" t="s">
        <v>1854</v>
      </c>
      <c r="C55" s="211">
        <v>25</v>
      </c>
      <c r="D55" s="107">
        <v>123.27</v>
      </c>
      <c r="E55" s="110">
        <f t="shared" si="2"/>
        <v>0.4166666666666667</v>
      </c>
      <c r="F55" s="107">
        <f>76.32*1.1*1.1</f>
        <v>92.3472</v>
      </c>
      <c r="G55" s="107">
        <f t="shared" si="3"/>
        <v>108.969696</v>
      </c>
    </row>
    <row r="56" spans="1:7" s="118" customFormat="1" ht="25.5">
      <c r="A56" s="107" t="s">
        <v>1968</v>
      </c>
      <c r="B56" s="526" t="s">
        <v>1855</v>
      </c>
      <c r="C56" s="211">
        <v>30</v>
      </c>
      <c r="D56" s="26">
        <v>123.27</v>
      </c>
      <c r="E56" s="110">
        <f t="shared" si="2"/>
        <v>0.5</v>
      </c>
      <c r="F56" s="107">
        <f>91.58*1.1*1.1</f>
        <v>110.8118</v>
      </c>
      <c r="G56" s="107">
        <f t="shared" si="3"/>
        <v>130.757924</v>
      </c>
    </row>
    <row r="57" spans="1:7" s="118" customFormat="1" ht="12.75">
      <c r="A57" s="107" t="s">
        <v>2693</v>
      </c>
      <c r="B57" s="384" t="s">
        <v>1856</v>
      </c>
      <c r="C57" s="211">
        <v>15</v>
      </c>
      <c r="D57" s="107">
        <v>123.27</v>
      </c>
      <c r="E57" s="25">
        <f t="shared" si="2"/>
        <v>0.25</v>
      </c>
      <c r="F57" s="107">
        <f>45.79*1.1*1.1</f>
        <v>55.4059</v>
      </c>
      <c r="G57" s="107">
        <f t="shared" si="3"/>
        <v>65.378962</v>
      </c>
    </row>
    <row r="58" spans="1:7" s="118" customFormat="1" ht="12.75">
      <c r="A58" s="107" t="s">
        <v>2246</v>
      </c>
      <c r="B58" s="384" t="s">
        <v>1857</v>
      </c>
      <c r="C58" s="211">
        <v>25</v>
      </c>
      <c r="D58" s="26">
        <v>123.27</v>
      </c>
      <c r="E58" s="110">
        <f t="shared" si="2"/>
        <v>0.4166666666666667</v>
      </c>
      <c r="F58" s="107">
        <f>76.32*1.1*1.1</f>
        <v>92.3472</v>
      </c>
      <c r="G58" s="107">
        <f t="shared" si="3"/>
        <v>108.969696</v>
      </c>
    </row>
    <row r="59" spans="1:7" s="118" customFormat="1" ht="12.75">
      <c r="A59" s="107" t="s">
        <v>2247</v>
      </c>
      <c r="B59" s="384" t="s">
        <v>1858</v>
      </c>
      <c r="C59" s="211">
        <v>30</v>
      </c>
      <c r="D59" s="26">
        <v>123.27</v>
      </c>
      <c r="E59" s="110">
        <f t="shared" si="2"/>
        <v>0.5</v>
      </c>
      <c r="F59" s="107">
        <f>91.58*1.1*1.1</f>
        <v>110.8118</v>
      </c>
      <c r="G59" s="107">
        <f t="shared" si="3"/>
        <v>130.757924</v>
      </c>
    </row>
    <row r="60" spans="1:7" s="118" customFormat="1" ht="12.75">
      <c r="A60" s="107" t="s">
        <v>851</v>
      </c>
      <c r="B60" s="384" t="s">
        <v>348</v>
      </c>
      <c r="C60" s="211">
        <v>30</v>
      </c>
      <c r="D60" s="26">
        <v>123.27</v>
      </c>
      <c r="E60" s="110">
        <f t="shared" si="2"/>
        <v>0.5</v>
      </c>
      <c r="F60" s="107">
        <f>91.58*1.1*1.1</f>
        <v>110.8118</v>
      </c>
      <c r="G60" s="107">
        <f t="shared" si="3"/>
        <v>130.757924</v>
      </c>
    </row>
    <row r="61" spans="1:7" s="118" customFormat="1" ht="12.75">
      <c r="A61" s="107" t="s">
        <v>852</v>
      </c>
      <c r="B61" s="384" t="s">
        <v>1859</v>
      </c>
      <c r="C61" s="211">
        <v>30</v>
      </c>
      <c r="D61" s="26">
        <v>123.27</v>
      </c>
      <c r="E61" s="110">
        <f t="shared" si="2"/>
        <v>0.5</v>
      </c>
      <c r="F61" s="107">
        <f>91.58*1.1*1.1</f>
        <v>110.8118</v>
      </c>
      <c r="G61" s="107">
        <f t="shared" si="3"/>
        <v>130.757924</v>
      </c>
    </row>
    <row r="62" spans="1:7" s="118" customFormat="1" ht="12.75">
      <c r="A62" s="107" t="s">
        <v>2070</v>
      </c>
      <c r="B62" s="384" t="s">
        <v>344</v>
      </c>
      <c r="C62" s="211">
        <v>40</v>
      </c>
      <c r="D62" s="107">
        <v>123.27</v>
      </c>
      <c r="E62" s="110">
        <f t="shared" si="2"/>
        <v>0.6666666666666666</v>
      </c>
      <c r="F62" s="107">
        <f>122.11*1.1*1.1</f>
        <v>147.75310000000002</v>
      </c>
      <c r="G62" s="107">
        <f t="shared" si="3"/>
        <v>174.34865800000003</v>
      </c>
    </row>
    <row r="63" spans="1:7" s="118" customFormat="1" ht="12.75">
      <c r="A63" s="107" t="s">
        <v>1737</v>
      </c>
      <c r="B63" s="527" t="s">
        <v>345</v>
      </c>
      <c r="C63" s="210">
        <v>100</v>
      </c>
      <c r="D63" s="26">
        <v>123.27</v>
      </c>
      <c r="E63" s="110">
        <f t="shared" si="2"/>
        <v>1.6666666666666667</v>
      </c>
      <c r="F63" s="107">
        <f>305.26*1.1*1.1</f>
        <v>369.36460000000005</v>
      </c>
      <c r="G63" s="107">
        <f t="shared" si="3"/>
        <v>435.8502280000001</v>
      </c>
    </row>
    <row r="64" spans="1:7" s="118" customFormat="1" ht="12.75">
      <c r="A64" s="107" t="s">
        <v>1738</v>
      </c>
      <c r="B64" s="527" t="s">
        <v>346</v>
      </c>
      <c r="C64" s="210">
        <v>50</v>
      </c>
      <c r="D64" s="26">
        <v>123.27</v>
      </c>
      <c r="E64" s="110">
        <f t="shared" si="2"/>
        <v>0.8333333333333334</v>
      </c>
      <c r="F64" s="107">
        <f>152.63*1.1*1.1</f>
        <v>184.68230000000003</v>
      </c>
      <c r="G64" s="107">
        <f t="shared" si="3"/>
        <v>217.92511400000004</v>
      </c>
    </row>
    <row r="65" spans="1:7" s="468" customFormat="1" ht="15.75" customHeight="1">
      <c r="A65" s="622" t="s">
        <v>1739</v>
      </c>
      <c r="B65" s="623" t="s">
        <v>1715</v>
      </c>
      <c r="C65" s="530" t="s">
        <v>1860</v>
      </c>
      <c r="D65" s="622"/>
      <c r="E65" s="624"/>
      <c r="F65" s="622"/>
      <c r="G65" s="622"/>
    </row>
    <row r="66" spans="1:7" s="788" customFormat="1" ht="14.25" customHeight="1">
      <c r="A66" s="464" t="s">
        <v>1740</v>
      </c>
      <c r="B66" s="528" t="s">
        <v>1861</v>
      </c>
      <c r="C66" s="428">
        <v>15</v>
      </c>
      <c r="D66" s="464">
        <v>123.27</v>
      </c>
      <c r="E66" s="358">
        <f>1*C66/60</f>
        <v>0.25</v>
      </c>
      <c r="F66" s="464">
        <f>45.79*1.1*1.1</f>
        <v>55.4059</v>
      </c>
      <c r="G66" s="464">
        <f>F66*18/100+F66</f>
        <v>65.378962</v>
      </c>
    </row>
    <row r="67" spans="1:7" s="227" customFormat="1" ht="14.25" customHeight="1">
      <c r="A67" s="472" t="s">
        <v>1744</v>
      </c>
      <c r="B67" s="963" t="s">
        <v>1745</v>
      </c>
      <c r="C67" s="963"/>
      <c r="D67" s="963"/>
      <c r="E67" s="963"/>
      <c r="F67" s="963"/>
      <c r="G67" s="963"/>
    </row>
    <row r="68" spans="1:7" ht="12.75">
      <c r="A68" s="107" t="s">
        <v>2455</v>
      </c>
      <c r="B68" s="384" t="s">
        <v>1862</v>
      </c>
      <c r="C68" s="210" t="s">
        <v>1863</v>
      </c>
      <c r="D68" s="107">
        <v>123.27</v>
      </c>
      <c r="E68" s="110">
        <f>1*C68/60</f>
        <v>16.666666666666668</v>
      </c>
      <c r="F68" s="107">
        <f>3052.64*1.1*1.1</f>
        <v>3693.6944000000003</v>
      </c>
      <c r="G68" s="107">
        <f>F68*18/100+F68</f>
        <v>4358.559392</v>
      </c>
    </row>
    <row r="69" spans="1:7" ht="12.75">
      <c r="A69" s="107" t="s">
        <v>2456</v>
      </c>
      <c r="B69" s="384" t="s">
        <v>1864</v>
      </c>
      <c r="C69" s="210" t="s">
        <v>1865</v>
      </c>
      <c r="D69" s="107">
        <v>123.27</v>
      </c>
      <c r="E69" s="110">
        <f>1*C69/60</f>
        <v>2</v>
      </c>
      <c r="F69" s="107">
        <f>366.32*1.1*1.1</f>
        <v>443.2472</v>
      </c>
      <c r="G69" s="107">
        <f>F69*18/100+F69</f>
        <v>523.031696</v>
      </c>
    </row>
    <row r="70" spans="1:7" ht="12.75">
      <c r="A70" s="107" t="s">
        <v>2457</v>
      </c>
      <c r="B70" s="384" t="s">
        <v>1866</v>
      </c>
      <c r="C70" s="210" t="s">
        <v>1865</v>
      </c>
      <c r="D70" s="107">
        <v>123.27</v>
      </c>
      <c r="E70" s="110">
        <f>1*C70/60</f>
        <v>2</v>
      </c>
      <c r="F70" s="107">
        <f>366.32*1.1*1.1</f>
        <v>443.2472</v>
      </c>
      <c r="G70" s="107">
        <f>F70*18/100+F70</f>
        <v>523.031696</v>
      </c>
    </row>
    <row r="71" spans="1:7" s="466" customFormat="1" ht="12.75">
      <c r="A71" s="464"/>
      <c r="B71" s="528" t="s">
        <v>3021</v>
      </c>
      <c r="C71" s="428"/>
      <c r="D71" s="464">
        <v>123.27</v>
      </c>
      <c r="E71" s="465"/>
      <c r="F71" s="464"/>
      <c r="G71" s="464"/>
    </row>
    <row r="72" spans="1:7" s="466" customFormat="1" ht="12.75">
      <c r="A72" s="464" t="s">
        <v>3035</v>
      </c>
      <c r="B72" s="528" t="s">
        <v>1867</v>
      </c>
      <c r="C72" s="428" t="s">
        <v>1868</v>
      </c>
      <c r="D72" s="464">
        <v>123.27</v>
      </c>
      <c r="E72" s="465">
        <f>1*C72/60</f>
        <v>3</v>
      </c>
      <c r="F72" s="464">
        <f>549.47*1.1*1.1</f>
        <v>664.8587000000001</v>
      </c>
      <c r="G72" s="464">
        <f>F72*18/100+F72</f>
        <v>784.5332660000001</v>
      </c>
    </row>
    <row r="73" spans="1:7" s="466" customFormat="1" ht="25.5">
      <c r="A73" s="464" t="s">
        <v>1741</v>
      </c>
      <c r="B73" s="528" t="s">
        <v>1869</v>
      </c>
      <c r="C73" s="428" t="s">
        <v>1870</v>
      </c>
      <c r="D73" s="464">
        <v>123.27</v>
      </c>
      <c r="E73" s="465">
        <f>1*C73/60</f>
        <v>4</v>
      </c>
      <c r="F73" s="464">
        <f>732.63*1.1*1.1</f>
        <v>886.4823000000001</v>
      </c>
      <c r="G73" s="464">
        <f>F73*18/100+F73</f>
        <v>1046.0491140000001</v>
      </c>
    </row>
    <row r="74" spans="1:7" s="467" customFormat="1" ht="15.75" customHeight="1">
      <c r="A74" s="529" t="s">
        <v>2496</v>
      </c>
      <c r="B74" s="964" t="s">
        <v>1746</v>
      </c>
      <c r="C74" s="964"/>
      <c r="D74" s="964"/>
      <c r="E74" s="964"/>
      <c r="F74" s="964"/>
      <c r="G74" s="964"/>
    </row>
    <row r="75" spans="1:7" s="466" customFormat="1" ht="12.75">
      <c r="A75" s="464"/>
      <c r="B75" s="528" t="s">
        <v>3022</v>
      </c>
      <c r="C75" s="530"/>
      <c r="D75" s="531"/>
      <c r="E75" s="532"/>
      <c r="F75" s="531"/>
      <c r="G75" s="531"/>
    </row>
    <row r="76" spans="1:7" ht="12.75">
      <c r="A76" s="107" t="s">
        <v>3036</v>
      </c>
      <c r="B76" s="384" t="s">
        <v>1871</v>
      </c>
      <c r="C76" s="210" t="s">
        <v>1872</v>
      </c>
      <c r="D76" s="107">
        <v>123.27</v>
      </c>
      <c r="E76" s="110">
        <f>1*C76/60</f>
        <v>5</v>
      </c>
      <c r="F76" s="464">
        <f>915.79*1.1*1.1</f>
        <v>1108.1059</v>
      </c>
      <c r="G76" s="107">
        <f>F76*18/100+F76</f>
        <v>1307.564962</v>
      </c>
    </row>
    <row r="77" spans="1:7" ht="25.5">
      <c r="A77" s="107" t="s">
        <v>1747</v>
      </c>
      <c r="B77" s="384" t="s">
        <v>1873</v>
      </c>
      <c r="C77" s="210" t="s">
        <v>1874</v>
      </c>
      <c r="D77" s="107">
        <v>123.27</v>
      </c>
      <c r="E77" s="110">
        <f>1*C77/60</f>
        <v>1.6666666666666667</v>
      </c>
      <c r="F77" s="464">
        <f>305.26*1.1*1.1</f>
        <v>369.36460000000005</v>
      </c>
      <c r="G77" s="107">
        <f>F77*18/100+F77</f>
        <v>435.8502280000001</v>
      </c>
    </row>
    <row r="78" spans="1:7" ht="12.75">
      <c r="A78" s="107" t="s">
        <v>1748</v>
      </c>
      <c r="B78" s="384" t="s">
        <v>1875</v>
      </c>
      <c r="C78" s="210" t="s">
        <v>1874</v>
      </c>
      <c r="D78" s="107">
        <v>123.27</v>
      </c>
      <c r="E78" s="110">
        <f>1*C78/60</f>
        <v>1.6666666666666667</v>
      </c>
      <c r="F78" s="107">
        <f>305.26*1.1*1.1</f>
        <v>369.36460000000005</v>
      </c>
      <c r="G78" s="107">
        <f>F78*18/100+F78</f>
        <v>435.8502280000001</v>
      </c>
    </row>
    <row r="79" spans="1:7" s="227" customFormat="1" ht="26.25" customHeight="1">
      <c r="A79" s="472" t="s">
        <v>1750</v>
      </c>
      <c r="B79" s="963" t="s">
        <v>1749</v>
      </c>
      <c r="C79" s="963"/>
      <c r="D79" s="963"/>
      <c r="E79" s="963"/>
      <c r="F79" s="963"/>
      <c r="G79" s="963"/>
    </row>
    <row r="80" spans="1:7" ht="12.75">
      <c r="A80" s="107" t="s">
        <v>2458</v>
      </c>
      <c r="B80" s="533" t="s">
        <v>1876</v>
      </c>
      <c r="C80" s="210"/>
      <c r="D80" s="26"/>
      <c r="E80" s="25"/>
      <c r="F80" s="26"/>
      <c r="G80" s="26"/>
    </row>
    <row r="81" spans="1:7" ht="12.75">
      <c r="A81" s="107" t="s">
        <v>1751</v>
      </c>
      <c r="B81" s="384" t="s">
        <v>1877</v>
      </c>
      <c r="C81" s="210" t="s">
        <v>1878</v>
      </c>
      <c r="D81" s="107">
        <v>123.27</v>
      </c>
      <c r="E81" s="110">
        <f>1*C81/60</f>
        <v>0.16666666666666666</v>
      </c>
      <c r="F81" s="107">
        <f>30.53*1.1*1.1</f>
        <v>36.94130000000001</v>
      </c>
      <c r="G81" s="107">
        <f>F81*18/100+F81</f>
        <v>43.59073400000001</v>
      </c>
    </row>
    <row r="82" spans="1:7" ht="25.5">
      <c r="A82" s="107" t="s">
        <v>1752</v>
      </c>
      <c r="B82" s="384" t="s">
        <v>1879</v>
      </c>
      <c r="C82" s="211" t="s">
        <v>1880</v>
      </c>
      <c r="D82" s="107">
        <v>123.27</v>
      </c>
      <c r="E82" s="110">
        <f>1*C82/60</f>
        <v>0.9166666666666666</v>
      </c>
      <c r="F82" s="107">
        <f>167.89*1.1*1.1</f>
        <v>203.14690000000002</v>
      </c>
      <c r="G82" s="107">
        <f>F82*18/100+F82</f>
        <v>239.713342</v>
      </c>
    </row>
    <row r="83" spans="1:7" ht="12.75">
      <c r="A83" s="107" t="s">
        <v>2459</v>
      </c>
      <c r="B83" s="533" t="s">
        <v>1881</v>
      </c>
      <c r="C83" s="210"/>
      <c r="D83" s="26"/>
      <c r="E83" s="110"/>
      <c r="F83" s="26"/>
      <c r="G83" s="26"/>
    </row>
    <row r="84" spans="1:7" ht="12.75">
      <c r="A84" s="107" t="s">
        <v>1753</v>
      </c>
      <c r="B84" s="384" t="s">
        <v>1877</v>
      </c>
      <c r="C84" s="210" t="s">
        <v>1878</v>
      </c>
      <c r="D84" s="107">
        <v>123.27</v>
      </c>
      <c r="E84" s="110">
        <f>1*C84/60</f>
        <v>0.16666666666666666</v>
      </c>
      <c r="F84" s="107">
        <f>30.53*1.1*1.1</f>
        <v>36.94130000000001</v>
      </c>
      <c r="G84" s="107">
        <f>F84*18/100+F84</f>
        <v>43.59073400000001</v>
      </c>
    </row>
    <row r="85" spans="1:7" ht="12.75">
      <c r="A85" s="107" t="s">
        <v>1754</v>
      </c>
      <c r="B85" s="384" t="s">
        <v>1882</v>
      </c>
      <c r="C85" s="210" t="s">
        <v>1883</v>
      </c>
      <c r="D85" s="107">
        <v>123.27</v>
      </c>
      <c r="E85" s="110">
        <f>1*C85/60</f>
        <v>0.5833333333333334</v>
      </c>
      <c r="F85" s="107">
        <f>106.84*1.1*1.1</f>
        <v>129.27640000000002</v>
      </c>
      <c r="G85" s="107">
        <f>F85*18/100+F85</f>
        <v>152.54615200000003</v>
      </c>
    </row>
    <row r="86" spans="1:7" ht="12.75">
      <c r="A86" s="107" t="s">
        <v>1755</v>
      </c>
      <c r="B86" s="384" t="s">
        <v>348</v>
      </c>
      <c r="C86" s="210" t="s">
        <v>1884</v>
      </c>
      <c r="D86" s="107">
        <v>123.27</v>
      </c>
      <c r="E86" s="110">
        <f>1*C86/60</f>
        <v>0.5</v>
      </c>
      <c r="F86" s="107">
        <f>91.58*1.1*1.1</f>
        <v>110.8118</v>
      </c>
      <c r="G86" s="107">
        <f>F86*18/100+F86</f>
        <v>130.757924</v>
      </c>
    </row>
    <row r="87" spans="1:7" ht="12.75">
      <c r="A87" s="107" t="s">
        <v>1756</v>
      </c>
      <c r="B87" s="384" t="s">
        <v>1885</v>
      </c>
      <c r="C87" s="210" t="s">
        <v>1886</v>
      </c>
      <c r="D87" s="107">
        <v>123.27</v>
      </c>
      <c r="E87" s="110">
        <f>1*C87/60</f>
        <v>0.8333333333333334</v>
      </c>
      <c r="F87" s="107">
        <f>152.63*1.1*1.1</f>
        <v>184.68230000000003</v>
      </c>
      <c r="G87" s="107">
        <f>F87*18/100+F87</f>
        <v>217.92511400000004</v>
      </c>
    </row>
    <row r="88" spans="1:7" ht="12.75">
      <c r="A88" s="107" t="s">
        <v>1757</v>
      </c>
      <c r="B88" s="384" t="s">
        <v>1887</v>
      </c>
      <c r="C88" s="210"/>
      <c r="D88" s="107"/>
      <c r="E88" s="110"/>
      <c r="F88" s="107"/>
      <c r="G88" s="107"/>
    </row>
    <row r="89" spans="1:7" ht="12.75">
      <c r="A89" s="107" t="s">
        <v>1758</v>
      </c>
      <c r="B89" s="384" t="s">
        <v>1888</v>
      </c>
      <c r="C89" s="210" t="s">
        <v>1889</v>
      </c>
      <c r="D89" s="107">
        <v>123.27</v>
      </c>
      <c r="E89" s="110">
        <f aca="true" t="shared" si="4" ref="E89:E95">1*C89/60</f>
        <v>0.26666666666666666</v>
      </c>
      <c r="F89" s="107">
        <f>48.84*1.1*1.1</f>
        <v>59.09640000000002</v>
      </c>
      <c r="G89" s="107">
        <f aca="true" t="shared" si="5" ref="G89:G95">F89*18/100+F89</f>
        <v>69.73375200000002</v>
      </c>
    </row>
    <row r="90" spans="1:7" ht="12.75">
      <c r="A90" s="107" t="s">
        <v>1759</v>
      </c>
      <c r="B90" s="384" t="s">
        <v>1890</v>
      </c>
      <c r="C90" s="210" t="s">
        <v>1886</v>
      </c>
      <c r="D90" s="107">
        <v>123.27</v>
      </c>
      <c r="E90" s="110">
        <f t="shared" si="4"/>
        <v>0.8333333333333334</v>
      </c>
      <c r="F90" s="107">
        <f>152.63*1.1*1.1</f>
        <v>184.68230000000003</v>
      </c>
      <c r="G90" s="107">
        <f t="shared" si="5"/>
        <v>217.92511400000004</v>
      </c>
    </row>
    <row r="91" spans="1:7" ht="12.75">
      <c r="A91" s="107" t="s">
        <v>1760</v>
      </c>
      <c r="B91" s="384" t="s">
        <v>1891</v>
      </c>
      <c r="C91" s="210" t="s">
        <v>1886</v>
      </c>
      <c r="D91" s="107">
        <v>123.27</v>
      </c>
      <c r="E91" s="110">
        <f t="shared" si="4"/>
        <v>0.8333333333333334</v>
      </c>
      <c r="F91" s="107">
        <f>152.63*1.1*1.1</f>
        <v>184.68230000000003</v>
      </c>
      <c r="G91" s="107">
        <f t="shared" si="5"/>
        <v>217.92511400000004</v>
      </c>
    </row>
    <row r="92" spans="1:7" ht="12.75">
      <c r="A92" s="107" t="s">
        <v>1761</v>
      </c>
      <c r="B92" s="384" t="s">
        <v>1892</v>
      </c>
      <c r="C92" s="210" t="s">
        <v>1884</v>
      </c>
      <c r="D92" s="107">
        <v>123.27</v>
      </c>
      <c r="E92" s="110">
        <f t="shared" si="4"/>
        <v>0.5</v>
      </c>
      <c r="F92" s="107">
        <f>91.58*1.1*1.1</f>
        <v>110.8118</v>
      </c>
      <c r="G92" s="107">
        <f t="shared" si="5"/>
        <v>130.757924</v>
      </c>
    </row>
    <row r="93" spans="1:7" ht="12.75">
      <c r="A93" s="107" t="s">
        <v>1762</v>
      </c>
      <c r="B93" s="384" t="s">
        <v>1893</v>
      </c>
      <c r="C93" s="210" t="s">
        <v>1884</v>
      </c>
      <c r="D93" s="107">
        <v>123.27</v>
      </c>
      <c r="E93" s="110">
        <f t="shared" si="4"/>
        <v>0.5</v>
      </c>
      <c r="F93" s="107">
        <f>91.58*1.1*1.1</f>
        <v>110.8118</v>
      </c>
      <c r="G93" s="107">
        <f t="shared" si="5"/>
        <v>130.757924</v>
      </c>
    </row>
    <row r="94" spans="1:7" ht="12.75">
      <c r="A94" s="107" t="s">
        <v>1763</v>
      </c>
      <c r="B94" s="384" t="s">
        <v>1894</v>
      </c>
      <c r="C94" s="210" t="s">
        <v>1886</v>
      </c>
      <c r="D94" s="107">
        <v>123.27</v>
      </c>
      <c r="E94" s="110">
        <f t="shared" si="4"/>
        <v>0.8333333333333334</v>
      </c>
      <c r="F94" s="107">
        <f>152.63*1.1*1.1</f>
        <v>184.68230000000003</v>
      </c>
      <c r="G94" s="107">
        <f t="shared" si="5"/>
        <v>217.92511400000004</v>
      </c>
    </row>
    <row r="95" spans="1:7" ht="12.75">
      <c r="A95" s="107" t="s">
        <v>1764</v>
      </c>
      <c r="B95" s="384" t="s">
        <v>1895</v>
      </c>
      <c r="C95" s="210" t="s">
        <v>1874</v>
      </c>
      <c r="D95" s="107">
        <v>123.27</v>
      </c>
      <c r="E95" s="110">
        <f t="shared" si="4"/>
        <v>1.6666666666666667</v>
      </c>
      <c r="F95" s="107">
        <f>305.26*1.1*1.1</f>
        <v>369.36460000000005</v>
      </c>
      <c r="G95" s="107">
        <f t="shared" si="5"/>
        <v>435.8502280000001</v>
      </c>
    </row>
    <row r="96" spans="1:7" ht="12.75">
      <c r="A96" s="107" t="s">
        <v>1765</v>
      </c>
      <c r="B96" s="384" t="s">
        <v>1896</v>
      </c>
      <c r="C96" s="210"/>
      <c r="D96" s="26"/>
      <c r="E96" s="110"/>
      <c r="F96" s="107"/>
      <c r="G96" s="107"/>
    </row>
    <row r="97" spans="1:7" ht="12.75">
      <c r="A97" s="107" t="s">
        <v>1766</v>
      </c>
      <c r="B97" s="384" t="s">
        <v>1897</v>
      </c>
      <c r="C97" s="210" t="s">
        <v>1874</v>
      </c>
      <c r="D97" s="107">
        <v>123.27</v>
      </c>
      <c r="E97" s="110">
        <f>1*C97/60</f>
        <v>1.6666666666666667</v>
      </c>
      <c r="F97" s="107">
        <f>305.26*1.1*1.1</f>
        <v>369.36460000000005</v>
      </c>
      <c r="G97" s="107">
        <f>F97*18/100+F97</f>
        <v>435.8502280000001</v>
      </c>
    </row>
    <row r="98" spans="1:7" ht="12.75">
      <c r="A98" s="107" t="s">
        <v>1767</v>
      </c>
      <c r="B98" s="384" t="s">
        <v>1898</v>
      </c>
      <c r="C98" s="210" t="s">
        <v>1874</v>
      </c>
      <c r="D98" s="107">
        <v>123.27</v>
      </c>
      <c r="E98" s="110">
        <f>1*C98/60</f>
        <v>1.6666666666666667</v>
      </c>
      <c r="F98" s="107">
        <f>305.26*1.1*1.1</f>
        <v>369.36460000000005</v>
      </c>
      <c r="G98" s="107">
        <f>F98*18/100+F98</f>
        <v>435.8502280000001</v>
      </c>
    </row>
    <row r="99" spans="1:7" s="227" customFormat="1" ht="14.25" customHeight="1">
      <c r="A99" s="472" t="s">
        <v>1769</v>
      </c>
      <c r="B99" s="963" t="s">
        <v>1768</v>
      </c>
      <c r="C99" s="963"/>
      <c r="D99" s="963"/>
      <c r="E99" s="963"/>
      <c r="F99" s="963"/>
      <c r="G99" s="963"/>
    </row>
    <row r="100" spans="1:7" ht="12.75">
      <c r="A100" s="534" t="s">
        <v>1770</v>
      </c>
      <c r="B100" s="384" t="s">
        <v>695</v>
      </c>
      <c r="C100" s="210" t="s">
        <v>1900</v>
      </c>
      <c r="D100" s="107">
        <v>123.27</v>
      </c>
      <c r="E100" s="110">
        <f aca="true" t="shared" si="6" ref="E100:E106">1*C100/60</f>
        <v>0.3333333333333333</v>
      </c>
      <c r="F100" s="107">
        <f>61.05*1.1*1.1</f>
        <v>73.8705</v>
      </c>
      <c r="G100" s="107">
        <f aca="true" t="shared" si="7" ref="G100:G106">F100*18/100+F100</f>
        <v>87.16719</v>
      </c>
    </row>
    <row r="101" spans="1:7" ht="12.75">
      <c r="A101" s="534" t="s">
        <v>1771</v>
      </c>
      <c r="B101" s="384" t="s">
        <v>1901</v>
      </c>
      <c r="C101" s="210" t="s">
        <v>1878</v>
      </c>
      <c r="D101" s="107">
        <v>123.27</v>
      </c>
      <c r="E101" s="110">
        <f t="shared" si="6"/>
        <v>0.16666666666666666</v>
      </c>
      <c r="F101" s="107">
        <f>30.53*1.1*1.1</f>
        <v>36.94130000000001</v>
      </c>
      <c r="G101" s="107">
        <f t="shared" si="7"/>
        <v>43.59073400000001</v>
      </c>
    </row>
    <row r="102" spans="1:9" ht="12.75">
      <c r="A102" s="534" t="s">
        <v>1772</v>
      </c>
      <c r="B102" s="384" t="s">
        <v>1902</v>
      </c>
      <c r="C102" s="210" t="s">
        <v>1900</v>
      </c>
      <c r="D102" s="107">
        <v>123.27</v>
      </c>
      <c r="E102" s="110">
        <f t="shared" si="6"/>
        <v>0.3333333333333333</v>
      </c>
      <c r="F102" s="107">
        <f>61.05*1.1*1.1</f>
        <v>73.8705</v>
      </c>
      <c r="G102" s="107">
        <f t="shared" si="7"/>
        <v>87.16719</v>
      </c>
      <c r="I102" s="779">
        <f>F16+F17+F19+F105</f>
        <v>828.4870000000001</v>
      </c>
    </row>
    <row r="103" spans="1:7" ht="12.75">
      <c r="A103" s="534" t="s">
        <v>1773</v>
      </c>
      <c r="B103" s="384" t="s">
        <v>696</v>
      </c>
      <c r="C103" s="210" t="s">
        <v>1884</v>
      </c>
      <c r="D103" s="107">
        <v>123.27</v>
      </c>
      <c r="E103" s="110">
        <f t="shared" si="6"/>
        <v>0.5</v>
      </c>
      <c r="F103" s="107">
        <f>91.58*1.1*1.1</f>
        <v>110.8118</v>
      </c>
      <c r="G103" s="107">
        <f t="shared" si="7"/>
        <v>130.757924</v>
      </c>
    </row>
    <row r="104" spans="1:7" ht="12.75">
      <c r="A104" s="534" t="s">
        <v>1774</v>
      </c>
      <c r="B104" s="384" t="s">
        <v>432</v>
      </c>
      <c r="C104" s="210" t="s">
        <v>1904</v>
      </c>
      <c r="D104" s="107">
        <v>123.27</v>
      </c>
      <c r="E104" s="110">
        <f t="shared" si="6"/>
        <v>1.3333333333333333</v>
      </c>
      <c r="F104" s="107">
        <f>244.21*1.1*1.1</f>
        <v>295.49410000000006</v>
      </c>
      <c r="G104" s="107">
        <f t="shared" si="7"/>
        <v>348.68303800000007</v>
      </c>
    </row>
    <row r="105" spans="1:7" ht="15.75" customHeight="1">
      <c r="A105" s="534" t="s">
        <v>1775</v>
      </c>
      <c r="B105" s="384" t="s">
        <v>1905</v>
      </c>
      <c r="C105" s="210" t="s">
        <v>1906</v>
      </c>
      <c r="D105" s="107">
        <v>123.27</v>
      </c>
      <c r="E105" s="110">
        <f t="shared" si="6"/>
        <v>3.3333333333333335</v>
      </c>
      <c r="F105" s="107">
        <f>610.53*1.1*1.1</f>
        <v>738.7413</v>
      </c>
      <c r="G105" s="107">
        <f t="shared" si="7"/>
        <v>871.714734</v>
      </c>
    </row>
    <row r="106" spans="1:7" ht="12.75">
      <c r="A106" s="534" t="s">
        <v>1776</v>
      </c>
      <c r="B106" s="384" t="s">
        <v>697</v>
      </c>
      <c r="C106" s="210" t="s">
        <v>1884</v>
      </c>
      <c r="D106" s="107">
        <v>123.27</v>
      </c>
      <c r="E106" s="110">
        <f t="shared" si="6"/>
        <v>0.5</v>
      </c>
      <c r="F106" s="107">
        <f>91.58*1.1*1.1</f>
        <v>110.8118</v>
      </c>
      <c r="G106" s="107">
        <f t="shared" si="7"/>
        <v>130.757924</v>
      </c>
    </row>
    <row r="107" spans="1:7" s="227" customFormat="1" ht="14.25" customHeight="1">
      <c r="A107" s="472" t="s">
        <v>1778</v>
      </c>
      <c r="B107" s="963" t="s">
        <v>1777</v>
      </c>
      <c r="C107" s="963"/>
      <c r="D107" s="963"/>
      <c r="E107" s="963"/>
      <c r="F107" s="963"/>
      <c r="G107" s="963"/>
    </row>
    <row r="108" spans="1:7" ht="12.75">
      <c r="A108" s="534" t="s">
        <v>1779</v>
      </c>
      <c r="B108" s="384" t="s">
        <v>1899</v>
      </c>
      <c r="C108" s="210" t="s">
        <v>1884</v>
      </c>
      <c r="D108" s="107">
        <v>123.27</v>
      </c>
      <c r="E108" s="110">
        <f aca="true" t="shared" si="8" ref="E108:E113">1*C108/60</f>
        <v>0.5</v>
      </c>
      <c r="F108" s="107">
        <f>91.58*1.1*1.1</f>
        <v>110.8118</v>
      </c>
      <c r="G108" s="107">
        <f aca="true" t="shared" si="9" ref="G108:G113">F108*18/100+F108</f>
        <v>130.757924</v>
      </c>
    </row>
    <row r="109" spans="1:7" ht="12.75">
      <c r="A109" s="534" t="s">
        <v>1780</v>
      </c>
      <c r="B109" s="384" t="s">
        <v>1903</v>
      </c>
      <c r="C109" s="210" t="s">
        <v>1884</v>
      </c>
      <c r="D109" s="107">
        <v>123.27</v>
      </c>
      <c r="E109" s="110">
        <f t="shared" si="8"/>
        <v>0.5</v>
      </c>
      <c r="F109" s="107">
        <f>91.58*1.1*1.1</f>
        <v>110.8118</v>
      </c>
      <c r="G109" s="107">
        <f t="shared" si="9"/>
        <v>130.757924</v>
      </c>
    </row>
    <row r="110" spans="1:7" ht="12.75">
      <c r="A110" s="534" t="s">
        <v>1781</v>
      </c>
      <c r="B110" s="384" t="s">
        <v>1910</v>
      </c>
      <c r="C110" s="210" t="s">
        <v>1884</v>
      </c>
      <c r="D110" s="107">
        <v>123.27</v>
      </c>
      <c r="E110" s="110">
        <f t="shared" si="8"/>
        <v>0.5</v>
      </c>
      <c r="F110" s="107">
        <f>91.58*1.1*1.1</f>
        <v>110.8118</v>
      </c>
      <c r="G110" s="107">
        <f t="shared" si="9"/>
        <v>130.757924</v>
      </c>
    </row>
    <row r="111" spans="1:7" ht="12.75">
      <c r="A111" s="534" t="s">
        <v>1782</v>
      </c>
      <c r="B111" s="384" t="s">
        <v>350</v>
      </c>
      <c r="C111" s="210" t="s">
        <v>1884</v>
      </c>
      <c r="D111" s="107">
        <v>123.27</v>
      </c>
      <c r="E111" s="110">
        <f t="shared" si="8"/>
        <v>0.5</v>
      </c>
      <c r="F111" s="107">
        <f>91.58*1.1*1.1</f>
        <v>110.8118</v>
      </c>
      <c r="G111" s="107">
        <f t="shared" si="9"/>
        <v>130.757924</v>
      </c>
    </row>
    <row r="112" spans="1:7" ht="12.75">
      <c r="A112" s="534" t="s">
        <v>1783</v>
      </c>
      <c r="B112" s="384" t="s">
        <v>1911</v>
      </c>
      <c r="C112" s="210" t="s">
        <v>1884</v>
      </c>
      <c r="D112" s="107">
        <v>123.27</v>
      </c>
      <c r="E112" s="110">
        <f t="shared" si="8"/>
        <v>0.5</v>
      </c>
      <c r="F112" s="107">
        <f>91.58*1.1*1.1</f>
        <v>110.8118</v>
      </c>
      <c r="G112" s="107">
        <f t="shared" si="9"/>
        <v>130.757924</v>
      </c>
    </row>
    <row r="113" spans="1:7" ht="12.75">
      <c r="A113" s="534" t="s">
        <v>1784</v>
      </c>
      <c r="B113" s="384" t="s">
        <v>1912</v>
      </c>
      <c r="C113" s="210" t="s">
        <v>1886</v>
      </c>
      <c r="D113" s="107">
        <v>123.27</v>
      </c>
      <c r="E113" s="110">
        <f t="shared" si="8"/>
        <v>0.8333333333333334</v>
      </c>
      <c r="F113" s="107">
        <f>152.63*1.1*1.1</f>
        <v>184.68230000000003</v>
      </c>
      <c r="G113" s="107">
        <f t="shared" si="9"/>
        <v>217.92511400000004</v>
      </c>
    </row>
    <row r="114" spans="1:7" s="227" customFormat="1" ht="15.75" customHeight="1">
      <c r="A114" s="472" t="s">
        <v>1786</v>
      </c>
      <c r="B114" s="963" t="s">
        <v>1785</v>
      </c>
      <c r="C114" s="963"/>
      <c r="D114" s="963"/>
      <c r="E114" s="963"/>
      <c r="F114" s="963"/>
      <c r="G114" s="963"/>
    </row>
    <row r="115" spans="1:7" ht="12.75">
      <c r="A115" s="534" t="s">
        <v>1787</v>
      </c>
      <c r="B115" s="384" t="s">
        <v>1914</v>
      </c>
      <c r="C115" s="210" t="s">
        <v>1886</v>
      </c>
      <c r="D115" s="107">
        <v>123.27</v>
      </c>
      <c r="E115" s="110">
        <f>1*C115/60</f>
        <v>0.8333333333333334</v>
      </c>
      <c r="F115" s="107">
        <f>152.63*1.1*1.1</f>
        <v>184.68230000000003</v>
      </c>
      <c r="G115" s="107">
        <f>F115*18/100+F115</f>
        <v>217.92511400000004</v>
      </c>
    </row>
    <row r="116" spans="1:7" ht="12.75">
      <c r="A116" s="534" t="s">
        <v>1788</v>
      </c>
      <c r="B116" s="384" t="s">
        <v>1916</v>
      </c>
      <c r="C116" s="210" t="s">
        <v>1917</v>
      </c>
      <c r="D116" s="107">
        <v>123.27</v>
      </c>
      <c r="E116" s="110">
        <f>1*C116/60</f>
        <v>1.1666666666666667</v>
      </c>
      <c r="F116" s="107">
        <f>213.68*1.1*1.1</f>
        <v>258.55280000000005</v>
      </c>
      <c r="G116" s="107">
        <f>F116*18/100+F116</f>
        <v>305.09230400000007</v>
      </c>
    </row>
    <row r="117" spans="1:7" ht="12.75">
      <c r="A117" s="534" t="s">
        <v>1789</v>
      </c>
      <c r="B117" s="384" t="s">
        <v>1919</v>
      </c>
      <c r="C117" s="210" t="s">
        <v>1920</v>
      </c>
      <c r="D117" s="107">
        <v>123.27</v>
      </c>
      <c r="E117" s="110">
        <f>1*C117/60</f>
        <v>0.6666666666666666</v>
      </c>
      <c r="F117" s="107">
        <f>122.11*1.1*1.1</f>
        <v>147.75310000000002</v>
      </c>
      <c r="G117" s="107">
        <f>F117*18/100+F117</f>
        <v>174.34865800000003</v>
      </c>
    </row>
    <row r="118" spans="1:7" s="227" customFormat="1" ht="15" customHeight="1">
      <c r="A118" s="472" t="s">
        <v>1791</v>
      </c>
      <c r="B118" s="963" t="s">
        <v>1790</v>
      </c>
      <c r="C118" s="963"/>
      <c r="D118" s="963"/>
      <c r="E118" s="963"/>
      <c r="F118" s="963"/>
      <c r="G118" s="963"/>
    </row>
    <row r="119" spans="1:7" ht="12.75">
      <c r="A119" s="534" t="s">
        <v>1792</v>
      </c>
      <c r="B119" s="384" t="s">
        <v>1921</v>
      </c>
      <c r="C119" s="210" t="s">
        <v>1878</v>
      </c>
      <c r="D119" s="107">
        <v>123.27</v>
      </c>
      <c r="E119" s="110">
        <f aca="true" t="shared" si="10" ref="E119:E126">1*C119/60</f>
        <v>0.16666666666666666</v>
      </c>
      <c r="F119" s="107">
        <f>30.53*1.1*1.1</f>
        <v>36.94130000000001</v>
      </c>
      <c r="G119" s="107">
        <f aca="true" t="shared" si="11" ref="G119:G126">F119*18/100+F119</f>
        <v>43.59073400000001</v>
      </c>
    </row>
    <row r="120" spans="1:7" ht="12.75">
      <c r="A120" s="534" t="s">
        <v>1793</v>
      </c>
      <c r="B120" s="384" t="s">
        <v>1923</v>
      </c>
      <c r="C120" s="210">
        <v>10</v>
      </c>
      <c r="D120" s="107">
        <v>123.27</v>
      </c>
      <c r="E120" s="110">
        <f t="shared" si="10"/>
        <v>0.16666666666666666</v>
      </c>
      <c r="F120" s="107">
        <f>30.53*1.1*1.1</f>
        <v>36.94130000000001</v>
      </c>
      <c r="G120" s="107">
        <f t="shared" si="11"/>
        <v>43.59073400000001</v>
      </c>
    </row>
    <row r="121" spans="1:7" ht="12.75">
      <c r="A121" s="534" t="s">
        <v>1794</v>
      </c>
      <c r="B121" s="384" t="s">
        <v>1925</v>
      </c>
      <c r="C121" s="210" t="s">
        <v>1926</v>
      </c>
      <c r="D121" s="107">
        <v>123.27</v>
      </c>
      <c r="E121" s="110">
        <f t="shared" si="10"/>
        <v>0.4166666666666667</v>
      </c>
      <c r="F121" s="107">
        <f>76.32*1.1*1.1</f>
        <v>92.3472</v>
      </c>
      <c r="G121" s="107">
        <f t="shared" si="11"/>
        <v>108.969696</v>
      </c>
    </row>
    <row r="122" spans="1:7" ht="12.75">
      <c r="A122" s="534" t="s">
        <v>1795</v>
      </c>
      <c r="B122" s="384" t="s">
        <v>1928</v>
      </c>
      <c r="C122" s="210" t="s">
        <v>1884</v>
      </c>
      <c r="D122" s="107">
        <v>123.27</v>
      </c>
      <c r="E122" s="110">
        <f t="shared" si="10"/>
        <v>0.5</v>
      </c>
      <c r="F122" s="107">
        <f>91.58*1.1*1.1</f>
        <v>110.8118</v>
      </c>
      <c r="G122" s="107">
        <f t="shared" si="11"/>
        <v>130.757924</v>
      </c>
    </row>
    <row r="123" spans="1:7" ht="12.75">
      <c r="A123" s="534" t="s">
        <v>1796</v>
      </c>
      <c r="B123" s="384" t="s">
        <v>1929</v>
      </c>
      <c r="C123" s="210" t="s">
        <v>1926</v>
      </c>
      <c r="D123" s="107">
        <v>123.27</v>
      </c>
      <c r="E123" s="110">
        <f t="shared" si="10"/>
        <v>0.4166666666666667</v>
      </c>
      <c r="F123" s="107">
        <f>76.32*1.1*1.1</f>
        <v>92.3472</v>
      </c>
      <c r="G123" s="107">
        <f t="shared" si="11"/>
        <v>108.969696</v>
      </c>
    </row>
    <row r="124" spans="1:7" ht="12.75">
      <c r="A124" s="534" t="s">
        <v>1797</v>
      </c>
      <c r="B124" s="384" t="s">
        <v>1930</v>
      </c>
      <c r="C124" s="210" t="s">
        <v>1886</v>
      </c>
      <c r="D124" s="107">
        <v>123.27</v>
      </c>
      <c r="E124" s="110">
        <f t="shared" si="10"/>
        <v>0.8333333333333334</v>
      </c>
      <c r="F124" s="107">
        <f>152.63*1.1*1.1</f>
        <v>184.68230000000003</v>
      </c>
      <c r="G124" s="107">
        <f t="shared" si="11"/>
        <v>217.92511400000004</v>
      </c>
    </row>
    <row r="125" spans="1:7" ht="12.75">
      <c r="A125" s="534" t="s">
        <v>1798</v>
      </c>
      <c r="B125" s="384" t="s">
        <v>1931</v>
      </c>
      <c r="C125" s="210" t="s">
        <v>1884</v>
      </c>
      <c r="D125" s="107">
        <v>123.27</v>
      </c>
      <c r="E125" s="110">
        <f t="shared" si="10"/>
        <v>0.5</v>
      </c>
      <c r="F125" s="107">
        <f>91.58*1.1*1.1</f>
        <v>110.8118</v>
      </c>
      <c r="G125" s="107">
        <f t="shared" si="11"/>
        <v>130.757924</v>
      </c>
    </row>
    <row r="126" spans="1:7" ht="12.75">
      <c r="A126" s="534" t="s">
        <v>1799</v>
      </c>
      <c r="B126" s="384" t="s">
        <v>1932</v>
      </c>
      <c r="C126" s="210" t="s">
        <v>1874</v>
      </c>
      <c r="D126" s="107">
        <v>123.27</v>
      </c>
      <c r="E126" s="110">
        <f t="shared" si="10"/>
        <v>1.6666666666666667</v>
      </c>
      <c r="F126" s="107">
        <f>305.26*1.1*1.1</f>
        <v>369.36460000000005</v>
      </c>
      <c r="G126" s="107">
        <f t="shared" si="11"/>
        <v>435.8502280000001</v>
      </c>
    </row>
    <row r="127" spans="1:7" s="227" customFormat="1" ht="15.75" customHeight="1">
      <c r="A127" s="472" t="s">
        <v>2521</v>
      </c>
      <c r="B127" s="963" t="s">
        <v>1800</v>
      </c>
      <c r="C127" s="963"/>
      <c r="D127" s="963"/>
      <c r="E127" s="963"/>
      <c r="F127" s="963"/>
      <c r="G127" s="963"/>
    </row>
    <row r="128" spans="1:7" ht="12.75">
      <c r="A128" s="534" t="s">
        <v>1801</v>
      </c>
      <c r="B128" s="384" t="s">
        <v>1921</v>
      </c>
      <c r="C128" s="210" t="s">
        <v>1933</v>
      </c>
      <c r="D128" s="107">
        <v>123.27</v>
      </c>
      <c r="E128" s="25">
        <f aca="true" t="shared" si="12" ref="E128:E134">1*C128/60</f>
        <v>0.75</v>
      </c>
      <c r="F128" s="107">
        <f>137.37*1.1*1.1</f>
        <v>166.21770000000004</v>
      </c>
      <c r="G128" s="107">
        <f aca="true" t="shared" si="13" ref="G128:G134">F128*18/100+F128</f>
        <v>196.13688600000006</v>
      </c>
    </row>
    <row r="129" spans="1:7" ht="12.75">
      <c r="A129" s="534" t="s">
        <v>1802</v>
      </c>
      <c r="B129" s="384" t="s">
        <v>1934</v>
      </c>
      <c r="C129" s="210" t="s">
        <v>1920</v>
      </c>
      <c r="D129" s="107">
        <v>123.27</v>
      </c>
      <c r="E129" s="110">
        <f t="shared" si="12"/>
        <v>0.6666666666666666</v>
      </c>
      <c r="F129" s="107">
        <f>122.11*1.1*1.1</f>
        <v>147.75310000000002</v>
      </c>
      <c r="G129" s="107">
        <f t="shared" si="13"/>
        <v>174.34865800000003</v>
      </c>
    </row>
    <row r="130" spans="1:7" ht="12.75">
      <c r="A130" s="534" t="s">
        <v>1803</v>
      </c>
      <c r="B130" s="384" t="s">
        <v>1935</v>
      </c>
      <c r="C130" s="210" t="s">
        <v>1886</v>
      </c>
      <c r="D130" s="107">
        <v>123.27</v>
      </c>
      <c r="E130" s="110">
        <f t="shared" si="12"/>
        <v>0.8333333333333334</v>
      </c>
      <c r="F130" s="107">
        <f>152.63*1.1*1.1</f>
        <v>184.68230000000003</v>
      </c>
      <c r="G130" s="107">
        <f t="shared" si="13"/>
        <v>217.92511400000004</v>
      </c>
    </row>
    <row r="131" spans="1:7" ht="12.75">
      <c r="A131" s="534" t="s">
        <v>1804</v>
      </c>
      <c r="B131" s="384" t="s">
        <v>1936</v>
      </c>
      <c r="C131" s="210" t="s">
        <v>1937</v>
      </c>
      <c r="D131" s="107">
        <v>123.27</v>
      </c>
      <c r="E131" s="25">
        <f t="shared" si="12"/>
        <v>1.25</v>
      </c>
      <c r="F131" s="107">
        <f>228.95*1.1*1.1</f>
        <v>277.02950000000004</v>
      </c>
      <c r="G131" s="107">
        <f t="shared" si="13"/>
        <v>326.89481000000006</v>
      </c>
    </row>
    <row r="132" spans="1:7" ht="12.75">
      <c r="A132" s="534" t="s">
        <v>1805</v>
      </c>
      <c r="B132" s="384" t="s">
        <v>1938</v>
      </c>
      <c r="C132" s="210" t="s">
        <v>1933</v>
      </c>
      <c r="D132" s="107">
        <v>123.27</v>
      </c>
      <c r="E132" s="25">
        <f t="shared" si="12"/>
        <v>0.75</v>
      </c>
      <c r="F132" s="107">
        <f>137.37*1.1*1.1</f>
        <v>166.21770000000004</v>
      </c>
      <c r="G132" s="107">
        <f t="shared" si="13"/>
        <v>196.13688600000006</v>
      </c>
    </row>
    <row r="133" spans="1:7" ht="12.75">
      <c r="A133" s="534" t="s">
        <v>1806</v>
      </c>
      <c r="B133" s="384" t="s">
        <v>1939</v>
      </c>
      <c r="C133" s="210" t="s">
        <v>1933</v>
      </c>
      <c r="D133" s="107">
        <v>123.27</v>
      </c>
      <c r="E133" s="25">
        <f t="shared" si="12"/>
        <v>0.75</v>
      </c>
      <c r="F133" s="107">
        <f>137.37*1.1*1.1</f>
        <v>166.21770000000004</v>
      </c>
      <c r="G133" s="107">
        <f t="shared" si="13"/>
        <v>196.13688600000006</v>
      </c>
    </row>
    <row r="134" spans="1:7" ht="12.75">
      <c r="A134" s="534" t="s">
        <v>645</v>
      </c>
      <c r="B134" s="384" t="s">
        <v>1940</v>
      </c>
      <c r="C134" s="210" t="s">
        <v>1874</v>
      </c>
      <c r="D134" s="107">
        <v>123.27</v>
      </c>
      <c r="E134" s="110">
        <f t="shared" si="12"/>
        <v>1.6666666666666667</v>
      </c>
      <c r="F134" s="107">
        <f>305.26*1.1*1.1</f>
        <v>369.36460000000005</v>
      </c>
      <c r="G134" s="107">
        <f t="shared" si="13"/>
        <v>435.8502280000001</v>
      </c>
    </row>
    <row r="135" spans="1:7" s="227" customFormat="1" ht="14.25" customHeight="1">
      <c r="A135" s="472" t="s">
        <v>647</v>
      </c>
      <c r="B135" s="963" t="s">
        <v>646</v>
      </c>
      <c r="C135" s="963"/>
      <c r="D135" s="963"/>
      <c r="E135" s="963"/>
      <c r="F135" s="963"/>
      <c r="G135" s="963"/>
    </row>
    <row r="136" spans="1:7" ht="12.75">
      <c r="A136" s="534" t="s">
        <v>648</v>
      </c>
      <c r="B136" s="384" t="s">
        <v>1921</v>
      </c>
      <c r="C136" s="210" t="s">
        <v>1878</v>
      </c>
      <c r="D136" s="107">
        <v>123.27</v>
      </c>
      <c r="E136" s="110">
        <f aca="true" t="shared" si="14" ref="E136:E141">1*C136/60</f>
        <v>0.16666666666666666</v>
      </c>
      <c r="F136" s="107">
        <f>30.53*1.1*1.1</f>
        <v>36.94130000000001</v>
      </c>
      <c r="G136" s="107">
        <f aca="true" t="shared" si="15" ref="G136:G141">F136*18/100+F136</f>
        <v>43.59073400000001</v>
      </c>
    </row>
    <row r="137" spans="1:7" ht="12.75">
      <c r="A137" s="534" t="s">
        <v>649</v>
      </c>
      <c r="B137" s="384" t="s">
        <v>1941</v>
      </c>
      <c r="C137" s="210" t="s">
        <v>1886</v>
      </c>
      <c r="D137" s="107">
        <v>123.27</v>
      </c>
      <c r="E137" s="110">
        <f t="shared" si="14"/>
        <v>0.8333333333333334</v>
      </c>
      <c r="F137" s="107">
        <f>152.63*1.1*1.1</f>
        <v>184.68230000000003</v>
      </c>
      <c r="G137" s="107">
        <f t="shared" si="15"/>
        <v>217.92511400000004</v>
      </c>
    </row>
    <row r="138" spans="1:7" ht="12.75">
      <c r="A138" s="534" t="s">
        <v>650</v>
      </c>
      <c r="B138" s="384" t="s">
        <v>1942</v>
      </c>
      <c r="C138" s="210" t="s">
        <v>1886</v>
      </c>
      <c r="D138" s="107">
        <v>123.27</v>
      </c>
      <c r="E138" s="110">
        <f t="shared" si="14"/>
        <v>0.8333333333333334</v>
      </c>
      <c r="F138" s="107">
        <f>152.63*1.1*1.1</f>
        <v>184.68230000000003</v>
      </c>
      <c r="G138" s="107">
        <f t="shared" si="15"/>
        <v>217.92511400000004</v>
      </c>
    </row>
    <row r="139" spans="1:7" ht="12.75">
      <c r="A139" s="534" t="s">
        <v>651</v>
      </c>
      <c r="B139" s="384" t="s">
        <v>1943</v>
      </c>
      <c r="C139" s="210" t="s">
        <v>1884</v>
      </c>
      <c r="D139" s="107">
        <v>123.27</v>
      </c>
      <c r="E139" s="110">
        <f t="shared" si="14"/>
        <v>0.5</v>
      </c>
      <c r="F139" s="107">
        <f>91.58*1.1*1.1</f>
        <v>110.8118</v>
      </c>
      <c r="G139" s="107">
        <f t="shared" si="15"/>
        <v>130.757924</v>
      </c>
    </row>
    <row r="140" spans="1:7" ht="12.75">
      <c r="A140" s="534" t="s">
        <v>652</v>
      </c>
      <c r="B140" s="384" t="s">
        <v>1944</v>
      </c>
      <c r="C140" s="210" t="s">
        <v>1884</v>
      </c>
      <c r="D140" s="107">
        <v>123.27</v>
      </c>
      <c r="E140" s="110">
        <f t="shared" si="14"/>
        <v>0.5</v>
      </c>
      <c r="F140" s="107">
        <f>91.58*1.1*1.1</f>
        <v>110.8118</v>
      </c>
      <c r="G140" s="107">
        <f t="shared" si="15"/>
        <v>130.757924</v>
      </c>
    </row>
    <row r="141" spans="1:7" ht="12.75">
      <c r="A141" s="534" t="s">
        <v>653</v>
      </c>
      <c r="B141" s="384" t="s">
        <v>1945</v>
      </c>
      <c r="C141" s="210" t="s">
        <v>1946</v>
      </c>
      <c r="D141" s="107">
        <v>123.27</v>
      </c>
      <c r="E141" s="110">
        <f t="shared" si="14"/>
        <v>0.5</v>
      </c>
      <c r="F141" s="107">
        <f>91.58*1.1*1.1</f>
        <v>110.8118</v>
      </c>
      <c r="G141" s="107">
        <f t="shared" si="15"/>
        <v>130.757924</v>
      </c>
    </row>
    <row r="142" spans="1:7" s="227" customFormat="1" ht="15" customHeight="1">
      <c r="A142" s="472" t="s">
        <v>655</v>
      </c>
      <c r="B142" s="963" t="s">
        <v>654</v>
      </c>
      <c r="C142" s="963"/>
      <c r="D142" s="963"/>
      <c r="E142" s="963"/>
      <c r="F142" s="963"/>
      <c r="G142" s="963"/>
    </row>
    <row r="143" spans="1:7" ht="25.5">
      <c r="A143" s="534" t="s">
        <v>656</v>
      </c>
      <c r="B143" s="384" t="s">
        <v>2958</v>
      </c>
      <c r="C143" s="210" t="s">
        <v>1947</v>
      </c>
      <c r="D143" s="107">
        <v>123.27</v>
      </c>
      <c r="E143" s="25"/>
      <c r="F143" s="107">
        <f>665.7*1.1*1.1</f>
        <v>805.4970000000002</v>
      </c>
      <c r="G143" s="107">
        <f>F143*18/100+F143</f>
        <v>950.4864600000002</v>
      </c>
    </row>
    <row r="144" spans="1:7" ht="25.5">
      <c r="A144" s="534" t="s">
        <v>657</v>
      </c>
      <c r="B144" s="384" t="s">
        <v>2959</v>
      </c>
      <c r="C144" s="210" t="s">
        <v>1874</v>
      </c>
      <c r="D144" s="107">
        <v>123.27</v>
      </c>
      <c r="E144" s="110"/>
      <c r="F144" s="107">
        <f>665.7*1.1*1.1</f>
        <v>805.4970000000002</v>
      </c>
      <c r="G144" s="107">
        <f>F144*18/100+F144</f>
        <v>950.4864600000002</v>
      </c>
    </row>
    <row r="145" spans="1:7" ht="25.5">
      <c r="A145" s="534" t="s">
        <v>658</v>
      </c>
      <c r="B145" s="384" t="s">
        <v>2960</v>
      </c>
      <c r="C145" s="210" t="s">
        <v>1878</v>
      </c>
      <c r="D145" s="107">
        <v>123.27</v>
      </c>
      <c r="E145" s="110"/>
      <c r="F145" s="107">
        <f>665.7*1.1*1.1</f>
        <v>805.4970000000002</v>
      </c>
      <c r="G145" s="107">
        <f>F145*18/100+F145</f>
        <v>950.4864600000002</v>
      </c>
    </row>
    <row r="146" spans="1:7" s="227" customFormat="1" ht="15" customHeight="1">
      <c r="A146" s="472" t="s">
        <v>660</v>
      </c>
      <c r="B146" s="963" t="s">
        <v>659</v>
      </c>
      <c r="C146" s="963"/>
      <c r="D146" s="963"/>
      <c r="E146" s="963"/>
      <c r="F146" s="963"/>
      <c r="G146" s="963"/>
    </row>
    <row r="147" spans="1:7" ht="12.75">
      <c r="A147" s="534" t="s">
        <v>661</v>
      </c>
      <c r="B147" s="526" t="s">
        <v>1709</v>
      </c>
      <c r="C147" s="210" t="s">
        <v>1904</v>
      </c>
      <c r="D147" s="107">
        <v>123.27</v>
      </c>
      <c r="E147" s="110">
        <f>1*C147/60</f>
        <v>1.3333333333333333</v>
      </c>
      <c r="F147" s="107">
        <f>244.21*1.1*1.1</f>
        <v>295.49410000000006</v>
      </c>
      <c r="G147" s="107">
        <f>F147*18/100+F147</f>
        <v>348.68303800000007</v>
      </c>
    </row>
    <row r="148" spans="1:7" s="227" customFormat="1" ht="15.75" customHeight="1">
      <c r="A148" s="472" t="s">
        <v>663</v>
      </c>
      <c r="B148" s="963" t="s">
        <v>662</v>
      </c>
      <c r="C148" s="963"/>
      <c r="D148" s="963"/>
      <c r="E148" s="963"/>
      <c r="F148" s="963"/>
      <c r="G148" s="963"/>
    </row>
    <row r="149" spans="1:7" ht="12.75">
      <c r="A149" s="534" t="s">
        <v>664</v>
      </c>
      <c r="B149" s="384" t="s">
        <v>1710</v>
      </c>
      <c r="C149" s="210" t="s">
        <v>1884</v>
      </c>
      <c r="D149" s="107">
        <v>123.27</v>
      </c>
      <c r="E149" s="110">
        <f>1*C149/60</f>
        <v>0.5</v>
      </c>
      <c r="F149" s="107">
        <f>91.58*1.1*1.1</f>
        <v>110.8118</v>
      </c>
      <c r="G149" s="107">
        <f>F149*18/100+F149</f>
        <v>130.757924</v>
      </c>
    </row>
    <row r="150" spans="1:7" ht="12.75">
      <c r="A150" s="534" t="s">
        <v>665</v>
      </c>
      <c r="B150" s="384" t="s">
        <v>1711</v>
      </c>
      <c r="C150" s="210" t="s">
        <v>1926</v>
      </c>
      <c r="D150" s="107">
        <v>123.27</v>
      </c>
      <c r="E150" s="110">
        <f>1*C150/60</f>
        <v>0.4166666666666667</v>
      </c>
      <c r="F150" s="107">
        <f>76.32*1.1*1.1</f>
        <v>92.3472</v>
      </c>
      <c r="G150" s="107">
        <f>F150*18/100+F150</f>
        <v>108.969696</v>
      </c>
    </row>
    <row r="151" spans="1:7" ht="12.75">
      <c r="A151" s="534" t="s">
        <v>666</v>
      </c>
      <c r="B151" s="384" t="s">
        <v>1712</v>
      </c>
      <c r="C151" s="210" t="s">
        <v>1926</v>
      </c>
      <c r="D151" s="107">
        <v>123.27</v>
      </c>
      <c r="E151" s="110">
        <f>1*C151/60</f>
        <v>0.4166666666666667</v>
      </c>
      <c r="F151" s="107">
        <f>76.32*1.1*1.1</f>
        <v>92.3472</v>
      </c>
      <c r="G151" s="107">
        <f>F151*18/100+F151</f>
        <v>108.969696</v>
      </c>
    </row>
    <row r="152" spans="1:7" ht="12.75">
      <c r="A152" s="534" t="s">
        <v>667</v>
      </c>
      <c r="B152" s="384" t="s">
        <v>1928</v>
      </c>
      <c r="C152" s="210" t="s">
        <v>1884</v>
      </c>
      <c r="D152" s="107">
        <v>123.27</v>
      </c>
      <c r="E152" s="110">
        <f>1*C152/60</f>
        <v>0.5</v>
      </c>
      <c r="F152" s="107">
        <f>91.58*1.1*1.1</f>
        <v>110.8118</v>
      </c>
      <c r="G152" s="107">
        <f>F152*18/100+F152</f>
        <v>130.757924</v>
      </c>
    </row>
    <row r="153" spans="1:7" ht="12.75">
      <c r="A153" s="534" t="s">
        <v>668</v>
      </c>
      <c r="B153" s="384" t="s">
        <v>1713</v>
      </c>
      <c r="C153" s="210" t="s">
        <v>1946</v>
      </c>
      <c r="D153" s="107">
        <v>123.27</v>
      </c>
      <c r="E153" s="110">
        <f>1*C153/60</f>
        <v>0.5</v>
      </c>
      <c r="F153" s="107">
        <f>91.58*1.1*1.1</f>
        <v>110.8118</v>
      </c>
      <c r="G153" s="107">
        <f>F153*18/100+F153</f>
        <v>130.757924</v>
      </c>
    </row>
    <row r="156" spans="1:7" ht="15.75">
      <c r="A156" s="1"/>
      <c r="B156" s="79"/>
      <c r="C156" s="311"/>
      <c r="D156" s="312"/>
      <c r="E156" s="313"/>
      <c r="F156" s="314"/>
      <c r="G156" s="67"/>
    </row>
    <row r="157" spans="1:7" ht="15.75">
      <c r="A157" s="1"/>
      <c r="B157" s="298"/>
      <c r="C157" s="311"/>
      <c r="D157" s="312"/>
      <c r="E157" s="313"/>
      <c r="F157" s="314"/>
      <c r="G157" s="298"/>
    </row>
    <row r="158" spans="1:7" ht="15.75">
      <c r="A158" s="179"/>
      <c r="B158" s="144" t="s">
        <v>2819</v>
      </c>
      <c r="C158" s="295"/>
      <c r="D158" s="296"/>
      <c r="E158" s="297"/>
      <c r="G158" s="626" t="s">
        <v>2820</v>
      </c>
    </row>
  </sheetData>
  <sheetProtection/>
  <mergeCells count="21">
    <mergeCell ref="B146:G146"/>
    <mergeCell ref="B127:G127"/>
    <mergeCell ref="B118:G118"/>
    <mergeCell ref="B20:G20"/>
    <mergeCell ref="B48:G48"/>
    <mergeCell ref="A10:G10"/>
    <mergeCell ref="B135:G135"/>
    <mergeCell ref="B79:G79"/>
    <mergeCell ref="B114:G114"/>
    <mergeCell ref="B15:G15"/>
    <mergeCell ref="B99:G99"/>
    <mergeCell ref="A7:G7"/>
    <mergeCell ref="A8:G8"/>
    <mergeCell ref="A9:G9"/>
    <mergeCell ref="A14:G14"/>
    <mergeCell ref="B24:G24"/>
    <mergeCell ref="B148:G148"/>
    <mergeCell ref="B107:G107"/>
    <mergeCell ref="B142:G142"/>
    <mergeCell ref="B67:G67"/>
    <mergeCell ref="B74:G74"/>
  </mergeCells>
  <printOptions/>
  <pageMargins left="0.5905511811023623" right="0.6299212598425197" top="0.4330708661417323" bottom="0.2362204724409449" header="0.5118110236220472" footer="0.4724409448818898"/>
  <pageSetup fitToHeight="4"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K60"/>
  <sheetViews>
    <sheetView zoomScalePageLayoutView="0" workbookViewId="0" topLeftCell="A31">
      <selection activeCell="P56" sqref="P56"/>
    </sheetView>
  </sheetViews>
  <sheetFormatPr defaultColWidth="9.00390625" defaultRowHeight="12.75"/>
  <cols>
    <col min="1" max="1" width="5.875" style="734" customWidth="1"/>
    <col min="2" max="2" width="52.75390625" style="742" customWidth="1"/>
    <col min="3" max="3" width="12.00390625" style="396" hidden="1" customWidth="1"/>
    <col min="4" max="4" width="13.875" style="736" hidden="1" customWidth="1"/>
    <col min="5" max="5" width="12.00390625" style="743" hidden="1" customWidth="1"/>
    <col min="6" max="6" width="11.00390625" style="733" hidden="1" customWidth="1"/>
    <col min="7" max="7" width="14.375" style="364" customWidth="1"/>
    <col min="8" max="8" width="14.00390625" style="364" customWidth="1"/>
  </cols>
  <sheetData>
    <row r="1" spans="1:8" ht="12.75">
      <c r="A1" s="720"/>
      <c r="B1" s="721"/>
      <c r="C1" s="364"/>
      <c r="D1" s="364"/>
      <c r="E1" s="722"/>
      <c r="F1" s="723"/>
      <c r="H1" s="442" t="s">
        <v>2824</v>
      </c>
    </row>
    <row r="2" spans="1:8" ht="12.75">
      <c r="A2" s="720"/>
      <c r="B2" s="721"/>
      <c r="C2" s="364"/>
      <c r="D2" s="364"/>
      <c r="E2" s="722"/>
      <c r="F2" s="724"/>
      <c r="H2" s="443" t="s">
        <v>2822</v>
      </c>
    </row>
    <row r="3" spans="1:8" ht="12.75">
      <c r="A3" s="720"/>
      <c r="B3" s="721"/>
      <c r="C3" s="364"/>
      <c r="D3" s="364"/>
      <c r="E3" s="722"/>
      <c r="F3" s="724"/>
      <c r="H3" s="81" t="s">
        <v>3556</v>
      </c>
    </row>
    <row r="4" spans="1:8" ht="12.75">
      <c r="A4" s="720"/>
      <c r="B4" s="721"/>
      <c r="C4" s="364"/>
      <c r="D4" s="364"/>
      <c r="E4" s="722"/>
      <c r="F4" s="724"/>
      <c r="H4" s="443"/>
    </row>
    <row r="5" spans="1:8" ht="12.75">
      <c r="A5" s="720"/>
      <c r="B5" s="721"/>
      <c r="C5" s="364"/>
      <c r="D5" s="364"/>
      <c r="E5" s="722"/>
      <c r="F5" s="724"/>
      <c r="H5" s="443"/>
    </row>
    <row r="6" spans="1:8" ht="15" customHeight="1">
      <c r="A6" s="968" t="s">
        <v>3551</v>
      </c>
      <c r="B6" s="968"/>
      <c r="C6" s="968"/>
      <c r="D6" s="968"/>
      <c r="E6" s="968"/>
      <c r="F6" s="968"/>
      <c r="G6" s="968"/>
      <c r="H6" s="968"/>
    </row>
    <row r="7" spans="1:8" ht="15" customHeight="1">
      <c r="A7" s="968" t="s">
        <v>2823</v>
      </c>
      <c r="B7" s="968"/>
      <c r="C7" s="968"/>
      <c r="D7" s="968"/>
      <c r="E7" s="968"/>
      <c r="F7" s="968"/>
      <c r="G7" s="968"/>
      <c r="H7" s="968"/>
    </row>
    <row r="8" spans="1:8" ht="15" customHeight="1">
      <c r="A8" s="971" t="s">
        <v>1161</v>
      </c>
      <c r="B8" s="971"/>
      <c r="C8" s="971"/>
      <c r="D8" s="971"/>
      <c r="E8" s="971"/>
      <c r="F8" s="971"/>
      <c r="G8" s="971"/>
      <c r="H8" s="971"/>
    </row>
    <row r="9" spans="1:8" s="22" customFormat="1" ht="15.75">
      <c r="A9" s="970" t="s">
        <v>3553</v>
      </c>
      <c r="B9" s="970"/>
      <c r="C9" s="970"/>
      <c r="D9" s="970"/>
      <c r="E9" s="970"/>
      <c r="F9" s="970"/>
      <c r="G9" s="970"/>
      <c r="H9" s="970"/>
    </row>
    <row r="10" spans="1:8" ht="25.5">
      <c r="A10" s="696" t="s">
        <v>2522</v>
      </c>
      <c r="B10" s="711" t="s">
        <v>779</v>
      </c>
      <c r="C10" s="424" t="s">
        <v>335</v>
      </c>
      <c r="D10" s="358"/>
      <c r="E10" s="725" t="s">
        <v>336</v>
      </c>
      <c r="F10" s="726" t="s">
        <v>337</v>
      </c>
      <c r="G10" s="725" t="s">
        <v>336</v>
      </c>
      <c r="H10" s="726" t="s">
        <v>337</v>
      </c>
    </row>
    <row r="11" spans="1:8" ht="12.75">
      <c r="A11" s="711">
        <v>1</v>
      </c>
      <c r="B11" s="711">
        <v>2</v>
      </c>
      <c r="C11" s="427">
        <v>3</v>
      </c>
      <c r="D11" s="727"/>
      <c r="E11" s="726"/>
      <c r="F11" s="726"/>
      <c r="G11" s="726">
        <v>4</v>
      </c>
      <c r="H11" s="726">
        <v>5</v>
      </c>
    </row>
    <row r="12" spans="1:8" ht="16.5" customHeight="1">
      <c r="A12" s="969" t="s">
        <v>670</v>
      </c>
      <c r="B12" s="969"/>
      <c r="C12" s="969"/>
      <c r="D12" s="969"/>
      <c r="E12" s="969"/>
      <c r="F12" s="969"/>
      <c r="G12" s="969"/>
      <c r="H12" s="969"/>
    </row>
    <row r="13" spans="1:8" s="364" customFormat="1" ht="12.75">
      <c r="A13" s="452" t="s">
        <v>1098</v>
      </c>
      <c r="B13" s="950" t="s">
        <v>2368</v>
      </c>
      <c r="C13" s="950"/>
      <c r="D13" s="950"/>
      <c r="E13" s="950"/>
      <c r="F13" s="950"/>
      <c r="G13" s="950"/>
      <c r="H13" s="950"/>
    </row>
    <row r="14" spans="1:8" s="364" customFormat="1" ht="12.75">
      <c r="A14" s="361"/>
      <c r="B14" s="453" t="s">
        <v>1457</v>
      </c>
      <c r="C14" s="427" t="s">
        <v>2369</v>
      </c>
      <c r="D14" s="711" t="s">
        <v>2370</v>
      </c>
      <c r="E14" s="454">
        <f>C14*71.47</f>
        <v>593.201</v>
      </c>
      <c r="F14" s="455">
        <f>E14*1.18</f>
        <v>699.97718</v>
      </c>
      <c r="G14" s="394">
        <f>1271.19*1.1*1.1</f>
        <v>1538.1399000000004</v>
      </c>
      <c r="H14" s="363">
        <f>G14*1.18</f>
        <v>1815.0050820000004</v>
      </c>
    </row>
    <row r="15" spans="1:8" s="364" customFormat="1" ht="12.75">
      <c r="A15" s="452" t="s">
        <v>1099</v>
      </c>
      <c r="B15" s="950" t="s">
        <v>3537</v>
      </c>
      <c r="C15" s="950"/>
      <c r="D15" s="950"/>
      <c r="E15" s="950"/>
      <c r="F15" s="950"/>
      <c r="G15" s="950"/>
      <c r="H15" s="950"/>
    </row>
    <row r="16" spans="1:8" s="364" customFormat="1" ht="12.75">
      <c r="A16" s="361"/>
      <c r="B16" s="453" t="s">
        <v>1457</v>
      </c>
      <c r="C16" s="458">
        <v>2.87</v>
      </c>
      <c r="D16" s="711" t="s">
        <v>2606</v>
      </c>
      <c r="E16" s="454">
        <f>C16*88.62</f>
        <v>254.3394</v>
      </c>
      <c r="F16" s="455">
        <f>E16*1.18</f>
        <v>300.120492</v>
      </c>
      <c r="G16" s="394">
        <f>559.32*1.1</f>
        <v>615.2520000000001</v>
      </c>
      <c r="H16" s="363">
        <f>G16*1.18</f>
        <v>725.9973600000001</v>
      </c>
    </row>
    <row r="17" spans="1:8" s="364" customFormat="1" ht="14.25" customHeight="1">
      <c r="A17" s="460" t="s">
        <v>1448</v>
      </c>
      <c r="B17" s="950" t="s">
        <v>1663</v>
      </c>
      <c r="C17" s="950"/>
      <c r="D17" s="950"/>
      <c r="E17" s="950"/>
      <c r="F17" s="950"/>
      <c r="G17" s="950"/>
      <c r="H17" s="950"/>
    </row>
    <row r="18" spans="1:8" s="364" customFormat="1" ht="12.75">
      <c r="A18" s="361"/>
      <c r="B18" s="453"/>
      <c r="C18" s="424" t="s">
        <v>1577</v>
      </c>
      <c r="D18" s="425" t="s">
        <v>1664</v>
      </c>
      <c r="E18" s="461">
        <f>C18*97.36*1.101</f>
        <v>64.31601599999999</v>
      </c>
      <c r="F18" s="455">
        <f>E18*1.18</f>
        <v>75.89289887999999</v>
      </c>
      <c r="G18" s="394">
        <f>78.81*1.1*1.1</f>
        <v>95.36010000000002</v>
      </c>
      <c r="H18" s="363">
        <f>G18*1.18</f>
        <v>112.52491800000001</v>
      </c>
    </row>
    <row r="19" spans="1:8" s="364" customFormat="1" ht="12.75">
      <c r="A19" s="452" t="s">
        <v>671</v>
      </c>
      <c r="B19" s="950" t="s">
        <v>3530</v>
      </c>
      <c r="C19" s="950"/>
      <c r="D19" s="950"/>
      <c r="E19" s="950"/>
      <c r="F19" s="950"/>
      <c r="G19" s="950"/>
      <c r="H19" s="950"/>
    </row>
    <row r="20" spans="1:8" s="364" customFormat="1" ht="12.75">
      <c r="A20" s="361"/>
      <c r="B20" s="453" t="s">
        <v>1457</v>
      </c>
      <c r="C20" s="427" t="s">
        <v>2314</v>
      </c>
      <c r="D20" s="711" t="s">
        <v>2315</v>
      </c>
      <c r="E20" s="454">
        <f>C20*58.18</f>
        <v>127.1233</v>
      </c>
      <c r="F20" s="455">
        <f>E20*1.18</f>
        <v>150.005494</v>
      </c>
      <c r="G20" s="394">
        <f>161.02*1.1*1.1</f>
        <v>194.83420000000004</v>
      </c>
      <c r="H20" s="363">
        <f>G20*1.18</f>
        <v>229.90435600000004</v>
      </c>
    </row>
    <row r="21" spans="1:8" s="364" customFormat="1" ht="12.75">
      <c r="A21" s="452" t="s">
        <v>672</v>
      </c>
      <c r="B21" s="950" t="s">
        <v>3531</v>
      </c>
      <c r="C21" s="950"/>
      <c r="D21" s="950"/>
      <c r="E21" s="950"/>
      <c r="F21" s="950"/>
      <c r="G21" s="950"/>
      <c r="H21" s="950"/>
    </row>
    <row r="22" spans="1:8" s="364" customFormat="1" ht="12.75">
      <c r="A22" s="361"/>
      <c r="B22" s="453" t="s">
        <v>1457</v>
      </c>
      <c r="C22" s="427" t="s">
        <v>2314</v>
      </c>
      <c r="D22" s="711" t="s">
        <v>2315</v>
      </c>
      <c r="E22" s="454">
        <f>C22*58.18</f>
        <v>127.1233</v>
      </c>
      <c r="F22" s="455">
        <f>E22*1.18</f>
        <v>150.005494</v>
      </c>
      <c r="G22" s="394">
        <f>161.02*1.1*1.1</f>
        <v>194.83420000000004</v>
      </c>
      <c r="H22" s="363">
        <f>G22*1.18</f>
        <v>229.90435600000004</v>
      </c>
    </row>
    <row r="23" spans="1:8" s="364" customFormat="1" ht="12.75">
      <c r="A23" s="452" t="s">
        <v>673</v>
      </c>
      <c r="B23" s="950" t="s">
        <v>2316</v>
      </c>
      <c r="C23" s="950"/>
      <c r="D23" s="950"/>
      <c r="E23" s="950"/>
      <c r="F23" s="950"/>
      <c r="G23" s="950"/>
      <c r="H23" s="950"/>
    </row>
    <row r="24" spans="1:8" s="364" customFormat="1" ht="12.75">
      <c r="A24" s="361"/>
      <c r="B24" s="453" t="s">
        <v>2486</v>
      </c>
      <c r="C24" s="424"/>
      <c r="D24" s="425"/>
      <c r="E24" s="461"/>
      <c r="F24" s="455"/>
      <c r="G24" s="456"/>
      <c r="H24" s="457"/>
    </row>
    <row r="25" spans="1:8" s="364" customFormat="1" ht="12.75">
      <c r="A25" s="361"/>
      <c r="B25" s="453" t="s">
        <v>2487</v>
      </c>
      <c r="C25" s="424"/>
      <c r="D25" s="425"/>
      <c r="E25" s="461"/>
      <c r="F25" s="455"/>
      <c r="G25" s="456"/>
      <c r="H25" s="457"/>
    </row>
    <row r="26" spans="1:8" s="364" customFormat="1" ht="12.75">
      <c r="A26" s="361"/>
      <c r="B26" s="453" t="s">
        <v>2488</v>
      </c>
      <c r="C26" s="424"/>
      <c r="D26" s="425"/>
      <c r="E26" s="461"/>
      <c r="F26" s="455"/>
      <c r="G26" s="456"/>
      <c r="H26" s="457"/>
    </row>
    <row r="27" spans="1:8" s="364" customFormat="1" ht="12.75">
      <c r="A27" s="361"/>
      <c r="B27" s="640" t="s">
        <v>857</v>
      </c>
      <c r="C27" s="462">
        <v>3.355</v>
      </c>
      <c r="D27" s="463" t="s">
        <v>2667</v>
      </c>
      <c r="E27" s="454">
        <f>C27*42.94</f>
        <v>144.06369999999998</v>
      </c>
      <c r="F27" s="455">
        <f>E27*1.18</f>
        <v>169.99516599999998</v>
      </c>
      <c r="G27" s="394">
        <f>169.49*1.1*1.1</f>
        <v>205.08290000000005</v>
      </c>
      <c r="H27" s="363">
        <f>G27*1.18</f>
        <v>241.99782200000004</v>
      </c>
    </row>
    <row r="28" spans="1:8" ht="12.75">
      <c r="A28" s="452" t="s">
        <v>674</v>
      </c>
      <c r="B28" s="950" t="s">
        <v>3532</v>
      </c>
      <c r="C28" s="950"/>
      <c r="D28" s="950"/>
      <c r="E28" s="950"/>
      <c r="F28" s="950"/>
      <c r="G28" s="950"/>
      <c r="H28" s="950"/>
    </row>
    <row r="29" spans="1:8" ht="12.75">
      <c r="A29" s="361"/>
      <c r="B29" s="453" t="s">
        <v>1457</v>
      </c>
      <c r="C29" s="427" t="s">
        <v>2670</v>
      </c>
      <c r="D29" s="711" t="s">
        <v>2671</v>
      </c>
      <c r="E29" s="454">
        <f>C29*68.16</f>
        <v>127.1184</v>
      </c>
      <c r="F29" s="455">
        <f aca="true" t="shared" si="0" ref="F29:F39">E29*1.18</f>
        <v>149.999712</v>
      </c>
      <c r="G29" s="394">
        <f>161.02*1.1*1.1</f>
        <v>194.83420000000004</v>
      </c>
      <c r="H29" s="363">
        <f aca="true" t="shared" si="1" ref="H29:H39">G29*1.18</f>
        <v>229.90435600000004</v>
      </c>
    </row>
    <row r="30" spans="1:8" ht="12.75">
      <c r="A30" s="452" t="s">
        <v>675</v>
      </c>
      <c r="B30" s="950" t="s">
        <v>3533</v>
      </c>
      <c r="C30" s="950"/>
      <c r="D30" s="950"/>
      <c r="E30" s="950"/>
      <c r="F30" s="950"/>
      <c r="G30" s="950"/>
      <c r="H30" s="950"/>
    </row>
    <row r="31" spans="1:8" ht="12.75">
      <c r="A31" s="361"/>
      <c r="B31" s="453" t="s">
        <v>1457</v>
      </c>
      <c r="C31" s="427" t="s">
        <v>2670</v>
      </c>
      <c r="D31" s="711" t="s">
        <v>2671</v>
      </c>
      <c r="E31" s="454">
        <f>C31*68.16</f>
        <v>127.1184</v>
      </c>
      <c r="F31" s="455">
        <f>E31*1.18</f>
        <v>149.999712</v>
      </c>
      <c r="G31" s="394">
        <f>161.02*1.1*1.1</f>
        <v>194.83420000000004</v>
      </c>
      <c r="H31" s="363">
        <f>G31*1.18</f>
        <v>229.90435600000004</v>
      </c>
    </row>
    <row r="32" spans="1:8" ht="12.75">
      <c r="A32" s="452" t="s">
        <v>676</v>
      </c>
      <c r="B32" s="950" t="s">
        <v>767</v>
      </c>
      <c r="C32" s="950"/>
      <c r="D32" s="950"/>
      <c r="E32" s="950"/>
      <c r="F32" s="950"/>
      <c r="G32" s="950"/>
      <c r="H32" s="950"/>
    </row>
    <row r="33" spans="1:8" ht="12.75">
      <c r="A33" s="361"/>
      <c r="B33" s="453" t="s">
        <v>1457</v>
      </c>
      <c r="C33" s="427" t="s">
        <v>442</v>
      </c>
      <c r="D33" s="711" t="s">
        <v>443</v>
      </c>
      <c r="E33" s="454">
        <f>C33*97.36*1.101</f>
        <v>444.31647719999995</v>
      </c>
      <c r="F33" s="455">
        <f t="shared" si="0"/>
        <v>524.2934430959999</v>
      </c>
      <c r="G33" s="394">
        <f>561.87*1.1*1.1</f>
        <v>679.8627</v>
      </c>
      <c r="H33" s="363">
        <f t="shared" si="1"/>
        <v>802.237986</v>
      </c>
    </row>
    <row r="34" spans="1:8" ht="12.75">
      <c r="A34" s="452" t="s">
        <v>677</v>
      </c>
      <c r="B34" s="950" t="s">
        <v>445</v>
      </c>
      <c r="C34" s="950"/>
      <c r="D34" s="950"/>
      <c r="E34" s="950"/>
      <c r="F34" s="950"/>
      <c r="G34" s="950"/>
      <c r="H34" s="950"/>
    </row>
    <row r="35" spans="1:8" ht="12.75">
      <c r="A35" s="361"/>
      <c r="B35" s="453" t="s">
        <v>1457</v>
      </c>
      <c r="C35" s="427" t="s">
        <v>446</v>
      </c>
      <c r="D35" s="711" t="s">
        <v>447</v>
      </c>
      <c r="E35" s="454">
        <f>C35*97.36*1.101</f>
        <v>118.4486628</v>
      </c>
      <c r="F35" s="455">
        <f t="shared" si="0"/>
        <v>139.76942210399997</v>
      </c>
      <c r="G35" s="394">
        <f>154.24*1.1*1.1</f>
        <v>186.63040000000004</v>
      </c>
      <c r="H35" s="363">
        <f t="shared" si="1"/>
        <v>220.22387200000003</v>
      </c>
    </row>
    <row r="36" spans="1:8" ht="12.75">
      <c r="A36" s="452" t="s">
        <v>678</v>
      </c>
      <c r="B36" s="950" t="s">
        <v>1815</v>
      </c>
      <c r="C36" s="950"/>
      <c r="D36" s="950"/>
      <c r="E36" s="950"/>
      <c r="F36" s="950"/>
      <c r="G36" s="950"/>
      <c r="H36" s="950"/>
    </row>
    <row r="37" spans="1:8" ht="12.75">
      <c r="A37" s="361"/>
      <c r="B37" s="453" t="s">
        <v>1457</v>
      </c>
      <c r="C37" s="427" t="s">
        <v>1816</v>
      </c>
      <c r="D37" s="711" t="s">
        <v>1817</v>
      </c>
      <c r="E37" s="454">
        <f>C37*97.36*1.101</f>
        <v>259.943898</v>
      </c>
      <c r="F37" s="455">
        <f t="shared" si="0"/>
        <v>306.73379964</v>
      </c>
      <c r="G37" s="394">
        <f>319.49*1.1*1.1</f>
        <v>386.58290000000005</v>
      </c>
      <c r="H37" s="363">
        <f t="shared" si="1"/>
        <v>456.16782200000006</v>
      </c>
    </row>
    <row r="38" spans="1:8" ht="12.75">
      <c r="A38" s="452" t="s">
        <v>3534</v>
      </c>
      <c r="B38" s="950" t="s">
        <v>1819</v>
      </c>
      <c r="C38" s="950"/>
      <c r="D38" s="950"/>
      <c r="E38" s="950"/>
      <c r="F38" s="950"/>
      <c r="G38" s="950"/>
      <c r="H38" s="950"/>
    </row>
    <row r="39" spans="1:8" ht="12.75">
      <c r="A39" s="361"/>
      <c r="B39" s="453" t="s">
        <v>1457</v>
      </c>
      <c r="C39" s="427">
        <v>1.5</v>
      </c>
      <c r="D39" s="425" t="s">
        <v>1820</v>
      </c>
      <c r="E39" s="461">
        <f>C39*97.36*1.101</f>
        <v>160.79003999999998</v>
      </c>
      <c r="F39" s="455">
        <f t="shared" si="0"/>
        <v>189.73224719999996</v>
      </c>
      <c r="G39" s="394">
        <f>172.03*1.1*1.1</f>
        <v>208.15630000000002</v>
      </c>
      <c r="H39" s="363">
        <f t="shared" si="1"/>
        <v>245.624434</v>
      </c>
    </row>
    <row r="40" spans="1:8" s="364" customFormat="1" ht="12.75">
      <c r="A40" s="452" t="s">
        <v>679</v>
      </c>
      <c r="B40" s="972" t="s">
        <v>820</v>
      </c>
      <c r="C40" s="973"/>
      <c r="D40" s="973"/>
      <c r="E40" s="973"/>
      <c r="F40" s="973"/>
      <c r="G40" s="973"/>
      <c r="H40" s="974"/>
    </row>
    <row r="41" spans="1:8" s="364" customFormat="1" ht="12.75">
      <c r="A41" s="459"/>
      <c r="B41" s="453" t="s">
        <v>1457</v>
      </c>
      <c r="C41" s="427" t="s">
        <v>2607</v>
      </c>
      <c r="D41" s="711" t="s">
        <v>1661</v>
      </c>
      <c r="E41" s="454" t="e">
        <f>SUM(#REF!)</f>
        <v>#REF!</v>
      </c>
      <c r="F41" s="455" t="e">
        <f>E41*1.18</f>
        <v>#REF!</v>
      </c>
      <c r="G41" s="394">
        <f>593.22*1.1*1.1</f>
        <v>717.7962000000001</v>
      </c>
      <c r="H41" s="363">
        <f>G41*1.18</f>
        <v>846.9995160000001</v>
      </c>
    </row>
    <row r="42" spans="1:8" s="364" customFormat="1" ht="12.75">
      <c r="A42" s="452" t="s">
        <v>680</v>
      </c>
      <c r="B42" s="972" t="s">
        <v>1666</v>
      </c>
      <c r="C42" s="973"/>
      <c r="D42" s="973"/>
      <c r="E42" s="973"/>
      <c r="F42" s="973"/>
      <c r="G42" s="973"/>
      <c r="H42" s="974"/>
    </row>
    <row r="43" spans="1:8" s="364" customFormat="1" ht="12.75">
      <c r="A43" s="361"/>
      <c r="B43" s="453" t="s">
        <v>1457</v>
      </c>
      <c r="C43" s="427" t="s">
        <v>2310</v>
      </c>
      <c r="D43" s="711" t="s">
        <v>2311</v>
      </c>
      <c r="E43" s="454">
        <f>C43*97.36*1.101</f>
        <v>163.46987399999998</v>
      </c>
      <c r="F43" s="455">
        <f>E43*1.18</f>
        <v>192.89445131999997</v>
      </c>
      <c r="G43" s="394">
        <f>254.24*1.1*1.1</f>
        <v>307.63040000000007</v>
      </c>
      <c r="H43" s="363">
        <f>G43*1.18</f>
        <v>363.00387200000006</v>
      </c>
    </row>
    <row r="44" spans="1:8" s="364" customFormat="1" ht="12.75">
      <c r="A44" s="361"/>
      <c r="B44" s="453" t="s">
        <v>3394</v>
      </c>
      <c r="C44" s="424"/>
      <c r="D44" s="425"/>
      <c r="E44" s="461"/>
      <c r="F44" s="455"/>
      <c r="G44" s="456"/>
      <c r="H44" s="457"/>
    </row>
    <row r="45" spans="1:8" s="364" customFormat="1" ht="12.75">
      <c r="A45" s="361"/>
      <c r="B45" s="639" t="s">
        <v>857</v>
      </c>
      <c r="C45" s="427">
        <v>2.5</v>
      </c>
      <c r="D45" s="711" t="s">
        <v>1455</v>
      </c>
      <c r="E45" s="454">
        <f>C45*97.36*1.101</f>
        <v>267.9834</v>
      </c>
      <c r="F45" s="455">
        <f>E45*1.18</f>
        <v>316.220412</v>
      </c>
      <c r="G45" s="394">
        <f>286.44*1.1*1.1</f>
        <v>346.59240000000005</v>
      </c>
      <c r="H45" s="363">
        <f aca="true" t="shared" si="2" ref="H45:H51">G45*1.18</f>
        <v>408.979032</v>
      </c>
    </row>
    <row r="46" spans="1:8" s="364" customFormat="1" ht="12.75">
      <c r="A46" s="452" t="s">
        <v>681</v>
      </c>
      <c r="B46" s="950" t="s">
        <v>2672</v>
      </c>
      <c r="C46" s="950"/>
      <c r="D46" s="950"/>
      <c r="E46" s="950"/>
      <c r="F46" s="950"/>
      <c r="G46" s="950"/>
      <c r="H46" s="950"/>
    </row>
    <row r="47" spans="1:8" s="364" customFormat="1" ht="12.75">
      <c r="A47" s="361"/>
      <c r="B47" s="453" t="s">
        <v>1457</v>
      </c>
      <c r="C47" s="427">
        <v>2.325</v>
      </c>
      <c r="D47" s="711" t="s">
        <v>1449</v>
      </c>
      <c r="E47" s="454">
        <f>C47*97.36*1.101</f>
        <v>249.22456200000002</v>
      </c>
      <c r="F47" s="455">
        <f>E47*1.18</f>
        <v>294.08498316000004</v>
      </c>
      <c r="G47" s="394">
        <f>317.8*1.1*1.1</f>
        <v>384.53800000000007</v>
      </c>
      <c r="H47" s="363">
        <f t="shared" si="2"/>
        <v>453.75484000000006</v>
      </c>
    </row>
    <row r="48" spans="1:8" s="364" customFormat="1" ht="12.75">
      <c r="A48" s="452" t="s">
        <v>682</v>
      </c>
      <c r="B48" s="950" t="s">
        <v>449</v>
      </c>
      <c r="C48" s="950"/>
      <c r="D48" s="950"/>
      <c r="E48" s="950"/>
      <c r="F48" s="950"/>
      <c r="G48" s="950"/>
      <c r="H48" s="950"/>
    </row>
    <row r="49" spans="1:8" s="364" customFormat="1" ht="12.75">
      <c r="A49" s="361"/>
      <c r="B49" s="453" t="s">
        <v>1457</v>
      </c>
      <c r="C49" s="427" t="s">
        <v>2058</v>
      </c>
      <c r="D49" s="711" t="s">
        <v>1814</v>
      </c>
      <c r="E49" s="454">
        <f>C49*97.36*1.101</f>
        <v>452.8919459999999</v>
      </c>
      <c r="F49" s="455">
        <f>E49*1.18</f>
        <v>534.4124962799999</v>
      </c>
      <c r="G49" s="394">
        <f>557.63*1.1*1.1</f>
        <v>674.7323000000001</v>
      </c>
      <c r="H49" s="363">
        <f t="shared" si="2"/>
        <v>796.1841140000001</v>
      </c>
    </row>
    <row r="50" spans="1:8" s="364" customFormat="1" ht="24.75" customHeight="1">
      <c r="A50" s="452" t="s">
        <v>3535</v>
      </c>
      <c r="B50" s="950" t="s">
        <v>1821</v>
      </c>
      <c r="C50" s="950"/>
      <c r="D50" s="950"/>
      <c r="E50" s="950"/>
      <c r="F50" s="950"/>
      <c r="G50" s="950"/>
      <c r="H50" s="950"/>
    </row>
    <row r="51" spans="1:8" s="364" customFormat="1" ht="12.75">
      <c r="A51" s="361"/>
      <c r="B51" s="453" t="s">
        <v>1457</v>
      </c>
      <c r="C51" s="427" t="s">
        <v>1822</v>
      </c>
      <c r="D51" s="711" t="s">
        <v>1823</v>
      </c>
      <c r="E51" s="454">
        <f>C51*97.36*1.101</f>
        <v>828.068706</v>
      </c>
      <c r="F51" s="455">
        <f>E51*1.18</f>
        <v>977.12107308</v>
      </c>
      <c r="G51" s="394">
        <f>1018.64*1.1*1.1</f>
        <v>1232.5544000000002</v>
      </c>
      <c r="H51" s="363">
        <f t="shared" si="2"/>
        <v>1454.4141920000002</v>
      </c>
    </row>
    <row r="52" spans="1:8" s="364" customFormat="1" ht="12.75">
      <c r="A52" s="452" t="s">
        <v>3536</v>
      </c>
      <c r="B52" s="950" t="s">
        <v>571</v>
      </c>
      <c r="C52" s="950"/>
      <c r="D52" s="950"/>
      <c r="E52" s="950"/>
      <c r="F52" s="950"/>
      <c r="G52" s="950"/>
      <c r="H52" s="950"/>
    </row>
    <row r="53" spans="1:8" s="364" customFormat="1" ht="12.75">
      <c r="A53" s="361"/>
      <c r="B53" s="453" t="s">
        <v>1457</v>
      </c>
      <c r="C53" s="427" t="s">
        <v>572</v>
      </c>
      <c r="D53" s="711" t="s">
        <v>573</v>
      </c>
      <c r="E53" s="454">
        <f>C53*97.36*1.101</f>
        <v>157.5742392</v>
      </c>
      <c r="F53" s="455">
        <f>E53*1.18</f>
        <v>185.937602256</v>
      </c>
      <c r="G53" s="394">
        <f>194.07*1.1*1.1</f>
        <v>234.82470000000004</v>
      </c>
      <c r="H53" s="363">
        <f>G53*1.18</f>
        <v>277.09314600000005</v>
      </c>
    </row>
    <row r="54" spans="1:8" s="364" customFormat="1" ht="12.75">
      <c r="A54" s="452" t="s">
        <v>683</v>
      </c>
      <c r="B54" s="789" t="s">
        <v>2821</v>
      </c>
      <c r="C54" s="424"/>
      <c r="D54" s="425" t="s">
        <v>2036</v>
      </c>
      <c r="E54" s="461">
        <f>C54*97.36*1.101</f>
        <v>0</v>
      </c>
      <c r="F54" s="455">
        <f>E54*1.18</f>
        <v>0</v>
      </c>
      <c r="G54" s="394"/>
      <c r="H54" s="363"/>
    </row>
    <row r="55" spans="1:8" s="364" customFormat="1" ht="12.75">
      <c r="A55" s="361"/>
      <c r="B55" s="453" t="s">
        <v>1457</v>
      </c>
      <c r="C55" s="462">
        <v>0.54</v>
      </c>
      <c r="D55" s="463" t="s">
        <v>2605</v>
      </c>
      <c r="E55" s="454">
        <f>C55*97.36*1.101</f>
        <v>57.884414400000004</v>
      </c>
      <c r="F55" s="455">
        <f>E55*1.18</f>
        <v>68.30360899200001</v>
      </c>
      <c r="G55" s="394">
        <v>220.34</v>
      </c>
      <c r="H55" s="363">
        <f>G55*1.18</f>
        <v>260.0012</v>
      </c>
    </row>
    <row r="56" spans="1:8" s="364" customFormat="1" ht="12.75">
      <c r="A56" s="702"/>
      <c r="B56" s="703"/>
      <c r="C56" s="704"/>
      <c r="D56" s="705"/>
      <c r="E56" s="706"/>
      <c r="F56" s="707"/>
      <c r="G56" s="395"/>
      <c r="H56" s="708"/>
    </row>
    <row r="57" spans="1:8" s="3" customFormat="1" ht="12.75">
      <c r="A57" s="728" t="s">
        <v>3538</v>
      </c>
      <c r="B57" s="729" t="s">
        <v>3539</v>
      </c>
      <c r="C57" s="730"/>
      <c r="D57" s="731"/>
      <c r="E57" s="732"/>
      <c r="F57" s="733"/>
      <c r="G57" s="433"/>
      <c r="H57" s="433"/>
    </row>
    <row r="58" spans="2:7" ht="15.75">
      <c r="B58" s="735"/>
      <c r="E58" s="737"/>
      <c r="G58" s="403"/>
    </row>
    <row r="59" spans="2:11" ht="15.75">
      <c r="B59" s="738" t="s">
        <v>2819</v>
      </c>
      <c r="C59" s="393"/>
      <c r="D59" s="739"/>
      <c r="E59" s="740"/>
      <c r="F59" s="741" t="s">
        <v>2478</v>
      </c>
      <c r="H59" s="515" t="s">
        <v>2820</v>
      </c>
      <c r="I59" s="53"/>
      <c r="J59" s="44"/>
      <c r="K59" s="22"/>
    </row>
    <row r="60" ht="12.75">
      <c r="E60" s="737"/>
    </row>
  </sheetData>
  <sheetProtection/>
  <autoFilter ref="A10:F39"/>
  <mergeCells count="23">
    <mergeCell ref="B52:H52"/>
    <mergeCell ref="B17:H17"/>
    <mergeCell ref="B40:H40"/>
    <mergeCell ref="B38:H38"/>
    <mergeCell ref="B19:H19"/>
    <mergeCell ref="B28:H28"/>
    <mergeCell ref="A6:H6"/>
    <mergeCell ref="A8:H8"/>
    <mergeCell ref="B32:H32"/>
    <mergeCell ref="B34:H34"/>
    <mergeCell ref="B23:H23"/>
    <mergeCell ref="B42:H42"/>
    <mergeCell ref="B13:H13"/>
    <mergeCell ref="B15:H15"/>
    <mergeCell ref="B21:H21"/>
    <mergeCell ref="B30:H30"/>
    <mergeCell ref="A7:H7"/>
    <mergeCell ref="B50:H50"/>
    <mergeCell ref="A12:H12"/>
    <mergeCell ref="B36:H36"/>
    <mergeCell ref="A9:H9"/>
    <mergeCell ref="B46:H46"/>
    <mergeCell ref="B48:H48"/>
  </mergeCells>
  <printOptions/>
  <pageMargins left="0.7480314960629921" right="0.11811023622047245" top="0" bottom="0"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K168"/>
  <sheetViews>
    <sheetView zoomScalePageLayoutView="0" workbookViewId="0" topLeftCell="A8">
      <selection activeCell="J25" sqref="J25"/>
    </sheetView>
  </sheetViews>
  <sheetFormatPr defaultColWidth="9.00390625" defaultRowHeight="12.75"/>
  <cols>
    <col min="1" max="1" width="8.25390625" style="179" customWidth="1"/>
    <col min="2" max="2" width="52.625" style="2" customWidth="1"/>
    <col min="3" max="3" width="12.00390625" style="17" hidden="1" customWidth="1"/>
    <col min="4" max="4" width="16.625" style="53" customWidth="1"/>
    <col min="5" max="5" width="12.375" style="441" customWidth="1"/>
  </cols>
  <sheetData>
    <row r="1" ht="12.75" hidden="1">
      <c r="C1" s="3" t="s">
        <v>1948</v>
      </c>
    </row>
    <row r="2" ht="12.75" hidden="1">
      <c r="C2"/>
    </row>
    <row r="3" ht="12.75" hidden="1">
      <c r="C3" t="s">
        <v>1949</v>
      </c>
    </row>
    <row r="4" ht="12.75" hidden="1">
      <c r="C4" t="s">
        <v>1950</v>
      </c>
    </row>
    <row r="5" ht="12.75" hidden="1">
      <c r="C5" t="s">
        <v>821</v>
      </c>
    </row>
    <row r="6" ht="12.75" hidden="1"/>
    <row r="7" ht="12.75" hidden="1"/>
    <row r="8" spans="1:5" ht="12.75">
      <c r="A8" s="121"/>
      <c r="B8" s="5"/>
      <c r="C8"/>
      <c r="D8" s="54"/>
      <c r="E8" s="442" t="s">
        <v>2472</v>
      </c>
    </row>
    <row r="9" spans="1:5" ht="12.75">
      <c r="A9" s="121"/>
      <c r="B9" s="5"/>
      <c r="C9"/>
      <c r="D9" s="54"/>
      <c r="E9" s="443" t="s">
        <v>2822</v>
      </c>
    </row>
    <row r="10" spans="1:5" ht="12.75">
      <c r="A10" s="121"/>
      <c r="B10" s="5"/>
      <c r="C10"/>
      <c r="D10" s="54"/>
      <c r="E10" s="81" t="s">
        <v>3556</v>
      </c>
    </row>
    <row r="11" spans="1:5" ht="12.75">
      <c r="A11" s="121"/>
      <c r="B11" s="975"/>
      <c r="C11" s="975"/>
      <c r="D11" s="975"/>
      <c r="E11" s="975"/>
    </row>
    <row r="12" spans="1:5" ht="12.75">
      <c r="A12" s="121"/>
      <c r="B12" s="5"/>
      <c r="C12"/>
      <c r="D12" s="54"/>
      <c r="E12" s="443"/>
    </row>
    <row r="13" spans="1:5" ht="15" customHeight="1">
      <c r="A13" s="897" t="s">
        <v>3551</v>
      </c>
      <c r="B13" s="897"/>
      <c r="C13" s="897"/>
      <c r="D13" s="897"/>
      <c r="E13" s="897"/>
    </row>
    <row r="14" spans="1:5" ht="15" customHeight="1">
      <c r="A14" s="897" t="s">
        <v>2823</v>
      </c>
      <c r="B14" s="897"/>
      <c r="C14" s="897"/>
      <c r="D14" s="897"/>
      <c r="E14" s="897"/>
    </row>
    <row r="15" spans="1:5" ht="15" customHeight="1">
      <c r="A15" s="898" t="s">
        <v>1161</v>
      </c>
      <c r="B15" s="898"/>
      <c r="C15" s="898"/>
      <c r="D15" s="898"/>
      <c r="E15" s="898"/>
    </row>
    <row r="16" spans="1:5" s="22" customFormat="1" ht="15.75">
      <c r="A16" s="899" t="s">
        <v>3553</v>
      </c>
      <c r="B16" s="899"/>
      <c r="C16" s="899"/>
      <c r="D16" s="899"/>
      <c r="E16" s="899"/>
    </row>
    <row r="17" spans="1:5" s="22" customFormat="1" ht="15.75">
      <c r="A17" s="641"/>
      <c r="B17" s="641"/>
      <c r="C17" s="641"/>
      <c r="D17" s="641"/>
      <c r="E17" s="641"/>
    </row>
    <row r="18" spans="1:5" ht="25.5">
      <c r="A18" s="335" t="s">
        <v>2522</v>
      </c>
      <c r="B18" s="405" t="s">
        <v>779</v>
      </c>
      <c r="C18" s="8" t="s">
        <v>335</v>
      </c>
      <c r="D18" s="491" t="s">
        <v>336</v>
      </c>
      <c r="E18" s="517" t="s">
        <v>337</v>
      </c>
    </row>
    <row r="19" spans="1:5" ht="12.75">
      <c r="A19" s="405">
        <v>1</v>
      </c>
      <c r="B19" s="405">
        <v>2</v>
      </c>
      <c r="C19" s="14">
        <v>3</v>
      </c>
      <c r="D19" s="492">
        <v>4</v>
      </c>
      <c r="E19" s="517">
        <v>5</v>
      </c>
    </row>
    <row r="20" spans="1:5" ht="15" customHeight="1">
      <c r="A20" s="952" t="s">
        <v>684</v>
      </c>
      <c r="B20" s="952"/>
      <c r="C20" s="952"/>
      <c r="D20" s="952"/>
      <c r="E20" s="952"/>
    </row>
    <row r="21" spans="1:5" ht="12.75">
      <c r="A21" s="329" t="s">
        <v>769</v>
      </c>
      <c r="B21" s="28" t="s">
        <v>1549</v>
      </c>
      <c r="C21" s="20"/>
      <c r="D21" s="57"/>
      <c r="E21" s="457"/>
    </row>
    <row r="22" spans="1:5" ht="42" customHeight="1">
      <c r="A22" s="330" t="s">
        <v>1978</v>
      </c>
      <c r="B22" s="255" t="s">
        <v>3413</v>
      </c>
      <c r="C22" s="20"/>
      <c r="D22" s="57"/>
      <c r="E22" s="457"/>
    </row>
    <row r="23" spans="1:5" ht="12.75">
      <c r="A23" s="330"/>
      <c r="B23" s="255" t="s">
        <v>3414</v>
      </c>
      <c r="C23" s="8"/>
      <c r="D23" s="31"/>
      <c r="E23" s="363"/>
    </row>
    <row r="24" spans="1:5" ht="12.75">
      <c r="A24" s="330"/>
      <c r="B24" s="255" t="s">
        <v>3415</v>
      </c>
      <c r="C24" s="8"/>
      <c r="D24" s="31"/>
      <c r="E24" s="363"/>
    </row>
    <row r="25" spans="1:5" ht="12.75">
      <c r="A25" s="330"/>
      <c r="B25" s="332" t="s">
        <v>857</v>
      </c>
      <c r="C25" s="14" t="s">
        <v>2514</v>
      </c>
      <c r="D25" s="514">
        <f>E25/1.18</f>
        <v>275.42372881355936</v>
      </c>
      <c r="E25" s="363">
        <v>325</v>
      </c>
    </row>
    <row r="26" spans="1:5" ht="12.75">
      <c r="A26" s="330" t="s">
        <v>1979</v>
      </c>
      <c r="B26" s="255" t="s">
        <v>3417</v>
      </c>
      <c r="C26" s="20"/>
      <c r="D26" s="514"/>
      <c r="E26" s="363"/>
    </row>
    <row r="27" spans="1:5" ht="12.75">
      <c r="A27" s="330"/>
      <c r="B27" s="255" t="s">
        <v>3414</v>
      </c>
      <c r="C27" s="8"/>
      <c r="D27" s="514"/>
      <c r="E27" s="363"/>
    </row>
    <row r="28" spans="1:5" ht="12.75">
      <c r="A28" s="330"/>
      <c r="B28" s="255" t="s">
        <v>3415</v>
      </c>
      <c r="C28" s="8"/>
      <c r="D28" s="514"/>
      <c r="E28" s="363"/>
    </row>
    <row r="29" spans="1:5" ht="12.75">
      <c r="A29" s="330"/>
      <c r="B29" s="332" t="s">
        <v>857</v>
      </c>
      <c r="C29" s="14" t="s">
        <v>774</v>
      </c>
      <c r="D29" s="514">
        <f>E29/1.18</f>
        <v>275.42372881355936</v>
      </c>
      <c r="E29" s="363">
        <v>325</v>
      </c>
    </row>
    <row r="30" spans="1:5" ht="12.75">
      <c r="A30" s="330" t="s">
        <v>3416</v>
      </c>
      <c r="B30" s="255" t="s">
        <v>3418</v>
      </c>
      <c r="C30" s="20"/>
      <c r="D30" s="514"/>
      <c r="E30" s="363"/>
    </row>
    <row r="31" spans="1:5" ht="12.75">
      <c r="A31" s="330"/>
      <c r="B31" s="255" t="s">
        <v>3414</v>
      </c>
      <c r="C31" s="8"/>
      <c r="D31" s="514"/>
      <c r="E31" s="363"/>
    </row>
    <row r="32" spans="1:5" ht="12.75">
      <c r="A32" s="330"/>
      <c r="B32" s="255" t="s">
        <v>3415</v>
      </c>
      <c r="C32" s="8"/>
      <c r="D32" s="514"/>
      <c r="E32" s="363"/>
    </row>
    <row r="33" spans="1:5" ht="12.75">
      <c r="A33" s="330"/>
      <c r="B33" s="332" t="s">
        <v>857</v>
      </c>
      <c r="C33" s="14" t="s">
        <v>774</v>
      </c>
      <c r="D33" s="514">
        <f>E33/1.18</f>
        <v>275.42372881355936</v>
      </c>
      <c r="E33" s="363">
        <v>325</v>
      </c>
    </row>
    <row r="34" spans="1:5" ht="12.75">
      <c r="A34" s="330" t="s">
        <v>3419</v>
      </c>
      <c r="B34" s="255" t="s">
        <v>3420</v>
      </c>
      <c r="C34" s="20"/>
      <c r="D34" s="514"/>
      <c r="E34" s="363"/>
    </row>
    <row r="35" spans="1:5" ht="12.75">
      <c r="A35" s="330"/>
      <c r="B35" s="255" t="s">
        <v>3414</v>
      </c>
      <c r="C35" s="8"/>
      <c r="D35" s="514"/>
      <c r="E35" s="363"/>
    </row>
    <row r="36" spans="1:5" ht="12.75">
      <c r="A36" s="330"/>
      <c r="B36" s="255" t="s">
        <v>3415</v>
      </c>
      <c r="C36" s="8"/>
      <c r="D36" s="514"/>
      <c r="E36" s="363"/>
    </row>
    <row r="37" spans="1:5" ht="12.75">
      <c r="A37" s="330"/>
      <c r="B37" s="332" t="s">
        <v>857</v>
      </c>
      <c r="C37" s="14" t="s">
        <v>774</v>
      </c>
      <c r="D37" s="514">
        <f>E37/1.18</f>
        <v>275.42372881355936</v>
      </c>
      <c r="E37" s="363">
        <v>325</v>
      </c>
    </row>
    <row r="38" spans="1:5" ht="12.75">
      <c r="A38" s="329" t="s">
        <v>770</v>
      </c>
      <c r="B38" s="28" t="s">
        <v>3421</v>
      </c>
      <c r="C38" s="20"/>
      <c r="D38" s="514"/>
      <c r="E38" s="363"/>
    </row>
    <row r="39" spans="1:5" ht="12.75">
      <c r="A39" s="330"/>
      <c r="B39" s="255" t="s">
        <v>3414</v>
      </c>
      <c r="C39" s="8"/>
      <c r="D39" s="514"/>
      <c r="E39" s="363"/>
    </row>
    <row r="40" spans="1:5" ht="12.75">
      <c r="A40" s="330"/>
      <c r="B40" s="255" t="s">
        <v>3415</v>
      </c>
      <c r="C40" s="8"/>
      <c r="D40" s="514"/>
      <c r="E40" s="363"/>
    </row>
    <row r="41" spans="1:5" ht="12.75">
      <c r="A41" s="330"/>
      <c r="B41" s="332" t="s">
        <v>857</v>
      </c>
      <c r="C41" s="14" t="s">
        <v>774</v>
      </c>
      <c r="D41" s="514">
        <f>E41/1.18</f>
        <v>275.42372881355936</v>
      </c>
      <c r="E41" s="363">
        <v>325</v>
      </c>
    </row>
    <row r="42" spans="1:5" ht="12.75">
      <c r="A42" s="329" t="s">
        <v>771</v>
      </c>
      <c r="B42" s="28" t="s">
        <v>3422</v>
      </c>
      <c r="C42" s="20"/>
      <c r="D42" s="31"/>
      <c r="E42" s="363"/>
    </row>
    <row r="43" spans="1:5" ht="12.75">
      <c r="A43" s="330"/>
      <c r="B43" s="255" t="s">
        <v>3414</v>
      </c>
      <c r="C43" s="8"/>
      <c r="D43" s="31"/>
      <c r="E43" s="363"/>
    </row>
    <row r="44" spans="1:5" ht="12.75">
      <c r="A44" s="330"/>
      <c r="B44" s="255" t="s">
        <v>3415</v>
      </c>
      <c r="C44" s="8"/>
      <c r="D44" s="31"/>
      <c r="E44" s="363"/>
    </row>
    <row r="45" spans="1:5" ht="12.75">
      <c r="A45" s="330"/>
      <c r="B45" s="332" t="s">
        <v>857</v>
      </c>
      <c r="C45" s="14" t="s">
        <v>1553</v>
      </c>
      <c r="D45" s="514">
        <f>E45/1.18</f>
        <v>474.5762711864407</v>
      </c>
      <c r="E45" s="363">
        <v>560</v>
      </c>
    </row>
    <row r="46" spans="1:5" ht="12.75">
      <c r="A46" s="329" t="s">
        <v>1071</v>
      </c>
      <c r="B46" s="28" t="s">
        <v>3423</v>
      </c>
      <c r="C46" s="20"/>
      <c r="D46" s="514"/>
      <c r="E46" s="363"/>
    </row>
    <row r="47" spans="1:5" ht="12.75">
      <c r="A47" s="330"/>
      <c r="B47" s="255" t="s">
        <v>3414</v>
      </c>
      <c r="C47" s="20"/>
      <c r="D47" s="514"/>
      <c r="E47" s="363"/>
    </row>
    <row r="48" spans="1:5" ht="12.75">
      <c r="A48" s="330"/>
      <c r="B48" s="255" t="s">
        <v>3415</v>
      </c>
      <c r="C48" s="8"/>
      <c r="D48" s="514"/>
      <c r="E48" s="363"/>
    </row>
    <row r="49" spans="1:5" ht="12.75">
      <c r="A49" s="330"/>
      <c r="B49" s="332" t="s">
        <v>857</v>
      </c>
      <c r="C49" s="14" t="s">
        <v>774</v>
      </c>
      <c r="D49" s="514">
        <f>E49/1.18</f>
        <v>275.42372881355936</v>
      </c>
      <c r="E49" s="363">
        <v>325</v>
      </c>
    </row>
    <row r="50" spans="1:5" ht="12.75">
      <c r="A50" s="329" t="s">
        <v>1072</v>
      </c>
      <c r="B50" s="762" t="s">
        <v>3425</v>
      </c>
      <c r="C50" s="15"/>
      <c r="D50" s="57"/>
      <c r="E50" s="457"/>
    </row>
    <row r="51" spans="1:5" ht="12.75">
      <c r="A51" s="335" t="s">
        <v>3426</v>
      </c>
      <c r="B51" s="255" t="s">
        <v>3424</v>
      </c>
      <c r="C51" s="20"/>
      <c r="D51" s="514"/>
      <c r="E51" s="363"/>
    </row>
    <row r="52" spans="1:5" ht="12.75">
      <c r="A52" s="330"/>
      <c r="B52" s="255" t="s">
        <v>3414</v>
      </c>
      <c r="C52" s="8"/>
      <c r="D52" s="514"/>
      <c r="E52" s="363"/>
    </row>
    <row r="53" spans="1:5" ht="12.75">
      <c r="A53" s="330"/>
      <c r="B53" s="255" t="s">
        <v>3415</v>
      </c>
      <c r="C53" s="8"/>
      <c r="D53" s="514"/>
      <c r="E53" s="363"/>
    </row>
    <row r="54" spans="1:5" ht="12.75">
      <c r="A54" s="330"/>
      <c r="B54" s="332" t="s">
        <v>857</v>
      </c>
      <c r="C54" s="14" t="s">
        <v>774</v>
      </c>
      <c r="D54" s="514">
        <f>E54/1.18</f>
        <v>275.42372881355936</v>
      </c>
      <c r="E54" s="363">
        <v>325</v>
      </c>
    </row>
    <row r="55" spans="1:5" ht="12.75">
      <c r="A55" s="335" t="s">
        <v>3427</v>
      </c>
      <c r="B55" s="255" t="s">
        <v>3428</v>
      </c>
      <c r="C55" s="20"/>
      <c r="D55" s="514"/>
      <c r="E55" s="363"/>
    </row>
    <row r="56" spans="1:5" ht="12.75">
      <c r="A56" s="330"/>
      <c r="B56" s="255" t="s">
        <v>3414</v>
      </c>
      <c r="C56" s="8"/>
      <c r="D56" s="514"/>
      <c r="E56" s="363"/>
    </row>
    <row r="57" spans="1:5" ht="12.75">
      <c r="A57" s="330"/>
      <c r="B57" s="255" t="s">
        <v>3415</v>
      </c>
      <c r="C57" s="8"/>
      <c r="D57" s="514"/>
      <c r="E57" s="363"/>
    </row>
    <row r="58" spans="1:5" ht="12.75">
      <c r="A58" s="330"/>
      <c r="B58" s="332" t="s">
        <v>857</v>
      </c>
      <c r="C58" s="14" t="s">
        <v>774</v>
      </c>
      <c r="D58" s="514">
        <f>E58/1.18</f>
        <v>275.42372881355936</v>
      </c>
      <c r="E58" s="363">
        <v>325</v>
      </c>
    </row>
    <row r="59" spans="1:5" ht="12.75">
      <c r="A59" s="329" t="s">
        <v>1073</v>
      </c>
      <c r="B59" s="329" t="s">
        <v>439</v>
      </c>
      <c r="C59" s="20"/>
      <c r="D59" s="514"/>
      <c r="E59" s="363"/>
    </row>
    <row r="60" spans="1:5" ht="12.75">
      <c r="A60" s="330" t="s">
        <v>3429</v>
      </c>
      <c r="B60" s="335" t="s">
        <v>3430</v>
      </c>
      <c r="C60" s="20"/>
      <c r="D60" s="514"/>
      <c r="E60" s="363"/>
    </row>
    <row r="61" spans="1:5" ht="12.75">
      <c r="A61" s="353"/>
      <c r="B61" s="255" t="s">
        <v>3414</v>
      </c>
      <c r="C61" s="8"/>
      <c r="D61" s="514"/>
      <c r="E61" s="363"/>
    </row>
    <row r="62" spans="1:5" ht="12.75">
      <c r="A62" s="330"/>
      <c r="B62" s="255" t="s">
        <v>3415</v>
      </c>
      <c r="C62" s="8"/>
      <c r="D62" s="514"/>
      <c r="E62" s="363"/>
    </row>
    <row r="63" spans="1:5" ht="12.75">
      <c r="A63" s="330"/>
      <c r="B63" s="405" t="s">
        <v>857</v>
      </c>
      <c r="C63" s="14" t="s">
        <v>774</v>
      </c>
      <c r="D63" s="514">
        <f>E63/1.18</f>
        <v>275.42372881355936</v>
      </c>
      <c r="E63" s="363">
        <v>325</v>
      </c>
    </row>
    <row r="64" spans="1:5" ht="12.75">
      <c r="A64" s="330" t="s">
        <v>3431</v>
      </c>
      <c r="B64" s="335" t="s">
        <v>3432</v>
      </c>
      <c r="C64" s="20"/>
      <c r="D64" s="514"/>
      <c r="E64" s="363"/>
    </row>
    <row r="65" spans="1:5" ht="12.75">
      <c r="A65" s="353"/>
      <c r="B65" s="255" t="s">
        <v>3414</v>
      </c>
      <c r="C65" s="8"/>
      <c r="D65" s="514"/>
      <c r="E65" s="363"/>
    </row>
    <row r="66" spans="1:5" ht="12.75">
      <c r="A66" s="330"/>
      <c r="B66" s="255" t="s">
        <v>3415</v>
      </c>
      <c r="C66" s="8"/>
      <c r="D66" s="514"/>
      <c r="E66" s="363"/>
    </row>
    <row r="67" spans="1:5" ht="12.75">
      <c r="A67" s="330"/>
      <c r="B67" s="405" t="s">
        <v>857</v>
      </c>
      <c r="C67" s="14" t="s">
        <v>774</v>
      </c>
      <c r="D67" s="514">
        <f>E67/1.18</f>
        <v>275.42372881355936</v>
      </c>
      <c r="E67" s="363">
        <v>325</v>
      </c>
    </row>
    <row r="68" spans="1:5" ht="12.75">
      <c r="A68" s="329" t="s">
        <v>1907</v>
      </c>
      <c r="B68" s="329" t="s">
        <v>3433</v>
      </c>
      <c r="C68" s="8" t="s">
        <v>774</v>
      </c>
      <c r="D68" s="514"/>
      <c r="E68" s="363"/>
    </row>
    <row r="69" spans="1:5" ht="12.75">
      <c r="A69" s="330" t="s">
        <v>3434</v>
      </c>
      <c r="B69" s="335" t="s">
        <v>3435</v>
      </c>
      <c r="C69" s="8" t="s">
        <v>440</v>
      </c>
      <c r="D69" s="514"/>
      <c r="E69" s="363"/>
    </row>
    <row r="70" spans="1:5" ht="12.75">
      <c r="A70" s="330"/>
      <c r="B70" s="255" t="s">
        <v>3414</v>
      </c>
      <c r="C70" s="8"/>
      <c r="D70" s="514"/>
      <c r="E70" s="363"/>
    </row>
    <row r="71" spans="1:5" ht="12.75">
      <c r="A71" s="330"/>
      <c r="B71" s="255" t="s">
        <v>3415</v>
      </c>
      <c r="C71" s="8"/>
      <c r="D71" s="514"/>
      <c r="E71" s="363"/>
    </row>
    <row r="72" spans="1:5" ht="12.75">
      <c r="A72" s="330"/>
      <c r="B72" s="405" t="s">
        <v>857</v>
      </c>
      <c r="C72" s="14" t="s">
        <v>774</v>
      </c>
      <c r="D72" s="514">
        <f>E72/1.18</f>
        <v>275.42372881355936</v>
      </c>
      <c r="E72" s="363">
        <v>325</v>
      </c>
    </row>
    <row r="73" spans="1:5" ht="12.75">
      <c r="A73" s="330" t="s">
        <v>3436</v>
      </c>
      <c r="B73" s="335" t="s">
        <v>3437</v>
      </c>
      <c r="C73" s="8" t="s">
        <v>440</v>
      </c>
      <c r="D73" s="514"/>
      <c r="E73" s="363"/>
    </row>
    <row r="74" spans="1:5" ht="12.75">
      <c r="A74" s="330"/>
      <c r="B74" s="255" t="s">
        <v>3414</v>
      </c>
      <c r="C74" s="8"/>
      <c r="D74" s="514"/>
      <c r="E74" s="363"/>
    </row>
    <row r="75" spans="1:5" ht="12.75">
      <c r="A75" s="330"/>
      <c r="B75" s="255" t="s">
        <v>3415</v>
      </c>
      <c r="C75" s="8"/>
      <c r="D75" s="514"/>
      <c r="E75" s="363"/>
    </row>
    <row r="76" spans="1:5" ht="12.75">
      <c r="A76" s="330"/>
      <c r="B76" s="405" t="s">
        <v>857</v>
      </c>
      <c r="C76" s="14" t="s">
        <v>774</v>
      </c>
      <c r="D76" s="514">
        <f>E76/1.18</f>
        <v>275.42372881355936</v>
      </c>
      <c r="E76" s="363">
        <v>325</v>
      </c>
    </row>
    <row r="77" spans="1:5" ht="12.75">
      <c r="A77" s="330" t="s">
        <v>3438</v>
      </c>
      <c r="B77" s="335" t="s">
        <v>3439</v>
      </c>
      <c r="C77" s="8" t="s">
        <v>440</v>
      </c>
      <c r="D77" s="514"/>
      <c r="E77" s="363"/>
    </row>
    <row r="78" spans="1:5" ht="12.75">
      <c r="A78" s="330"/>
      <c r="B78" s="255" t="s">
        <v>3414</v>
      </c>
      <c r="C78" s="8"/>
      <c r="D78" s="514"/>
      <c r="E78" s="363"/>
    </row>
    <row r="79" spans="1:5" ht="12.75">
      <c r="A79" s="330"/>
      <c r="B79" s="255" t="s">
        <v>3415</v>
      </c>
      <c r="C79" s="8"/>
      <c r="D79" s="514"/>
      <c r="E79" s="363"/>
    </row>
    <row r="80" spans="1:5" ht="12.75">
      <c r="A80" s="330"/>
      <c r="B80" s="405" t="s">
        <v>857</v>
      </c>
      <c r="C80" s="14" t="s">
        <v>774</v>
      </c>
      <c r="D80" s="514">
        <f>E80/1.18</f>
        <v>275.42372881355936</v>
      </c>
      <c r="E80" s="363">
        <v>325</v>
      </c>
    </row>
    <row r="81" spans="1:5" ht="12.75">
      <c r="A81" s="330" t="s">
        <v>3440</v>
      </c>
      <c r="B81" s="335" t="s">
        <v>3441</v>
      </c>
      <c r="C81" s="8" t="s">
        <v>440</v>
      </c>
      <c r="D81" s="514"/>
      <c r="E81" s="363"/>
    </row>
    <row r="82" spans="1:5" ht="12.75">
      <c r="A82" s="330"/>
      <c r="B82" s="255" t="s">
        <v>3414</v>
      </c>
      <c r="C82" s="8"/>
      <c r="D82" s="514"/>
      <c r="E82" s="363"/>
    </row>
    <row r="83" spans="1:5" ht="12.75">
      <c r="A83" s="330"/>
      <c r="B83" s="255" t="s">
        <v>3415</v>
      </c>
      <c r="C83" s="8"/>
      <c r="D83" s="514"/>
      <c r="E83" s="363"/>
    </row>
    <row r="84" spans="1:5" ht="12.75">
      <c r="A84" s="330"/>
      <c r="B84" s="405" t="s">
        <v>857</v>
      </c>
      <c r="C84" s="14" t="s">
        <v>774</v>
      </c>
      <c r="D84" s="514">
        <f>E84/1.18</f>
        <v>275.42372881355936</v>
      </c>
      <c r="E84" s="363">
        <v>325</v>
      </c>
    </row>
    <row r="85" spans="1:5" ht="12.75">
      <c r="A85" s="329" t="s">
        <v>685</v>
      </c>
      <c r="B85" s="329" t="s">
        <v>3442</v>
      </c>
      <c r="C85" s="8" t="s">
        <v>774</v>
      </c>
      <c r="D85" s="514"/>
      <c r="E85" s="363"/>
    </row>
    <row r="86" spans="1:5" ht="12.75">
      <c r="A86" s="330" t="s">
        <v>3444</v>
      </c>
      <c r="B86" s="335" t="s">
        <v>3443</v>
      </c>
      <c r="C86" s="8" t="s">
        <v>440</v>
      </c>
      <c r="D86" s="514"/>
      <c r="E86" s="363"/>
    </row>
    <row r="87" spans="1:5" ht="12.75">
      <c r="A87" s="330"/>
      <c r="B87" s="255" t="s">
        <v>3414</v>
      </c>
      <c r="C87" s="8"/>
      <c r="D87" s="514"/>
      <c r="E87" s="363"/>
    </row>
    <row r="88" spans="1:5" ht="12.75">
      <c r="A88" s="330"/>
      <c r="B88" s="255" t="s">
        <v>3415</v>
      </c>
      <c r="C88" s="8"/>
      <c r="D88" s="514"/>
      <c r="E88" s="363"/>
    </row>
    <row r="89" spans="1:5" ht="12.75">
      <c r="A89" s="330"/>
      <c r="B89" s="405" t="s">
        <v>857</v>
      </c>
      <c r="C89" s="14" t="s">
        <v>774</v>
      </c>
      <c r="D89" s="514">
        <f>E89/1.18</f>
        <v>275.42372881355936</v>
      </c>
      <c r="E89" s="363">
        <v>325</v>
      </c>
    </row>
    <row r="90" spans="1:5" ht="12.75">
      <c r="A90" s="330" t="s">
        <v>3445</v>
      </c>
      <c r="B90" s="335" t="s">
        <v>3448</v>
      </c>
      <c r="C90" s="8" t="s">
        <v>440</v>
      </c>
      <c r="D90" s="514"/>
      <c r="E90" s="363"/>
    </row>
    <row r="91" spans="1:5" ht="12.75">
      <c r="A91" s="330"/>
      <c r="B91" s="255" t="s">
        <v>3414</v>
      </c>
      <c r="C91" s="8"/>
      <c r="D91" s="514"/>
      <c r="E91" s="363"/>
    </row>
    <row r="92" spans="1:5" ht="12.75">
      <c r="A92" s="330"/>
      <c r="B92" s="255" t="s">
        <v>3415</v>
      </c>
      <c r="C92" s="8"/>
      <c r="D92" s="514"/>
      <c r="E92" s="363"/>
    </row>
    <row r="93" spans="1:5" ht="12.75">
      <c r="A93" s="330"/>
      <c r="B93" s="405" t="s">
        <v>857</v>
      </c>
      <c r="C93" s="14" t="s">
        <v>774</v>
      </c>
      <c r="D93" s="514">
        <f>E93/1.18</f>
        <v>275.42372881355936</v>
      </c>
      <c r="E93" s="363">
        <v>325</v>
      </c>
    </row>
    <row r="94" spans="1:5" ht="12.75">
      <c r="A94" s="330" t="s">
        <v>3446</v>
      </c>
      <c r="B94" s="335" t="s">
        <v>3449</v>
      </c>
      <c r="C94" s="8" t="s">
        <v>440</v>
      </c>
      <c r="D94" s="514"/>
      <c r="E94" s="363"/>
    </row>
    <row r="95" spans="1:5" ht="12.75">
      <c r="A95" s="330"/>
      <c r="B95" s="255" t="s">
        <v>3414</v>
      </c>
      <c r="C95" s="8"/>
      <c r="D95" s="514"/>
      <c r="E95" s="363"/>
    </row>
    <row r="96" spans="1:5" ht="12.75">
      <c r="A96" s="330"/>
      <c r="B96" s="255" t="s">
        <v>3415</v>
      </c>
      <c r="C96" s="8"/>
      <c r="D96" s="514"/>
      <c r="E96" s="363"/>
    </row>
    <row r="97" spans="1:5" ht="12.75">
      <c r="A97" s="330"/>
      <c r="B97" s="405" t="s">
        <v>857</v>
      </c>
      <c r="C97" s="14" t="s">
        <v>774</v>
      </c>
      <c r="D97" s="514">
        <f>E97/1.18</f>
        <v>275.42372881355936</v>
      </c>
      <c r="E97" s="363">
        <v>325</v>
      </c>
    </row>
    <row r="98" spans="1:5" ht="12.75">
      <c r="A98" s="330" t="s">
        <v>3447</v>
      </c>
      <c r="B98" s="335" t="s">
        <v>3450</v>
      </c>
      <c r="C98" s="8" t="s">
        <v>440</v>
      </c>
      <c r="D98" s="514"/>
      <c r="E98" s="363"/>
    </row>
    <row r="99" spans="1:5" ht="12.75">
      <c r="A99" s="330"/>
      <c r="B99" s="255" t="s">
        <v>3414</v>
      </c>
      <c r="C99" s="8"/>
      <c r="D99" s="514"/>
      <c r="E99" s="363"/>
    </row>
    <row r="100" spans="1:5" ht="12.75">
      <c r="A100" s="330"/>
      <c r="B100" s="255" t="s">
        <v>3415</v>
      </c>
      <c r="C100" s="8"/>
      <c r="D100" s="514"/>
      <c r="E100" s="363"/>
    </row>
    <row r="101" spans="1:5" ht="12.75">
      <c r="A101" s="330"/>
      <c r="B101" s="405" t="s">
        <v>857</v>
      </c>
      <c r="C101" s="14" t="s">
        <v>774</v>
      </c>
      <c r="D101" s="514">
        <f>E101/1.18</f>
        <v>275.42372881355936</v>
      </c>
      <c r="E101" s="363">
        <v>325</v>
      </c>
    </row>
    <row r="102" spans="1:5" ht="12.75">
      <c r="A102" s="329" t="s">
        <v>686</v>
      </c>
      <c r="B102" s="329" t="s">
        <v>3453</v>
      </c>
      <c r="C102" s="8" t="s">
        <v>774</v>
      </c>
      <c r="D102" s="514"/>
      <c r="E102" s="363"/>
    </row>
    <row r="103" spans="1:5" ht="12.75">
      <c r="A103" s="330" t="s">
        <v>3451</v>
      </c>
      <c r="B103" s="335" t="s">
        <v>3454</v>
      </c>
      <c r="C103" s="8" t="s">
        <v>440</v>
      </c>
      <c r="D103" s="514"/>
      <c r="E103" s="363"/>
    </row>
    <row r="104" spans="1:5" ht="12.75">
      <c r="A104" s="330"/>
      <c r="B104" s="255" t="s">
        <v>3414</v>
      </c>
      <c r="C104" s="8"/>
      <c r="D104" s="514"/>
      <c r="E104" s="363"/>
    </row>
    <row r="105" spans="1:5" ht="12.75">
      <c r="A105" s="330"/>
      <c r="B105" s="255" t="s">
        <v>3415</v>
      </c>
      <c r="C105" s="8"/>
      <c r="D105" s="514"/>
      <c r="E105" s="363"/>
    </row>
    <row r="106" spans="1:5" ht="12.75">
      <c r="A106" s="330"/>
      <c r="B106" s="405" t="s">
        <v>857</v>
      </c>
      <c r="C106" s="14" t="s">
        <v>774</v>
      </c>
      <c r="D106" s="514">
        <f>E106/1.18</f>
        <v>275.42372881355936</v>
      </c>
      <c r="E106" s="363">
        <v>325</v>
      </c>
    </row>
    <row r="107" spans="1:5" ht="12.75">
      <c r="A107" s="330" t="s">
        <v>3452</v>
      </c>
      <c r="B107" s="335" t="s">
        <v>3455</v>
      </c>
      <c r="C107" s="8" t="s">
        <v>440</v>
      </c>
      <c r="D107" s="514"/>
      <c r="E107" s="363"/>
    </row>
    <row r="108" spans="1:5" ht="12.75">
      <c r="A108" s="330"/>
      <c r="B108" s="255" t="s">
        <v>3414</v>
      </c>
      <c r="C108" s="8"/>
      <c r="D108" s="514"/>
      <c r="E108" s="363"/>
    </row>
    <row r="109" spans="1:5" ht="12.75">
      <c r="A109" s="330"/>
      <c r="B109" s="255" t="s">
        <v>3415</v>
      </c>
      <c r="C109" s="8"/>
      <c r="D109" s="514"/>
      <c r="E109" s="363"/>
    </row>
    <row r="110" spans="1:5" ht="12.75">
      <c r="A110" s="330"/>
      <c r="B110" s="405" t="s">
        <v>857</v>
      </c>
      <c r="C110" s="14" t="s">
        <v>774</v>
      </c>
      <c r="D110" s="514">
        <f>E110/1.18</f>
        <v>275.42372881355936</v>
      </c>
      <c r="E110" s="363">
        <v>325</v>
      </c>
    </row>
    <row r="111" spans="1:5" s="364" customFormat="1" ht="12.75">
      <c r="A111" s="452" t="s">
        <v>687</v>
      </c>
      <c r="B111" s="452" t="s">
        <v>3456</v>
      </c>
      <c r="C111" s="424"/>
      <c r="D111" s="588"/>
      <c r="E111" s="363"/>
    </row>
    <row r="112" spans="1:5" s="364" customFormat="1" ht="12.75">
      <c r="A112" s="763" t="s">
        <v>3457</v>
      </c>
      <c r="B112" s="452" t="s">
        <v>3458</v>
      </c>
      <c r="C112" s="424"/>
      <c r="D112" s="588"/>
      <c r="E112" s="363"/>
    </row>
    <row r="113" spans="1:5" s="364" customFormat="1" ht="12.75">
      <c r="A113" s="763" t="s">
        <v>3459</v>
      </c>
      <c r="B113" s="696" t="s">
        <v>3460</v>
      </c>
      <c r="C113" s="424"/>
      <c r="D113" s="588"/>
      <c r="E113" s="363"/>
    </row>
    <row r="114" spans="1:5" s="364" customFormat="1" ht="12.75">
      <c r="A114" s="361"/>
      <c r="B114" s="761" t="s">
        <v>857</v>
      </c>
      <c r="C114" s="427" t="s">
        <v>774</v>
      </c>
      <c r="D114" s="514">
        <f>E114/1.18</f>
        <v>223.72881355932205</v>
      </c>
      <c r="E114" s="363">
        <v>264</v>
      </c>
    </row>
    <row r="115" spans="1:5" s="364" customFormat="1" ht="12.75">
      <c r="A115" s="763" t="s">
        <v>3461</v>
      </c>
      <c r="B115" s="696" t="s">
        <v>3545</v>
      </c>
      <c r="C115" s="424"/>
      <c r="D115" s="588"/>
      <c r="E115" s="363"/>
    </row>
    <row r="116" spans="1:5" s="364" customFormat="1" ht="12.75">
      <c r="A116" s="361"/>
      <c r="B116" s="761" t="s">
        <v>857</v>
      </c>
      <c r="C116" s="427" t="s">
        <v>774</v>
      </c>
      <c r="D116" s="514">
        <f>E116/1.18</f>
        <v>139.83050847457628</v>
      </c>
      <c r="E116" s="363">
        <v>165</v>
      </c>
    </row>
    <row r="117" spans="1:5" s="364" customFormat="1" ht="12.75">
      <c r="A117" s="763" t="s">
        <v>3462</v>
      </c>
      <c r="B117" s="696" t="s">
        <v>3546</v>
      </c>
      <c r="C117" s="424"/>
      <c r="D117" s="588"/>
      <c r="E117" s="363"/>
    </row>
    <row r="118" spans="1:5" s="364" customFormat="1" ht="12.75">
      <c r="A118" s="361"/>
      <c r="B118" s="761" t="s">
        <v>857</v>
      </c>
      <c r="C118" s="427" t="s">
        <v>774</v>
      </c>
      <c r="D118" s="514">
        <f>E118/1.18</f>
        <v>531.3559322033899</v>
      </c>
      <c r="E118" s="363">
        <v>627</v>
      </c>
    </row>
    <row r="119" spans="1:5" s="364" customFormat="1" ht="12.75">
      <c r="A119" s="361" t="s">
        <v>3463</v>
      </c>
      <c r="B119" s="452" t="s">
        <v>3464</v>
      </c>
      <c r="C119" s="618"/>
      <c r="D119" s="588"/>
      <c r="E119" s="363"/>
    </row>
    <row r="120" spans="1:5" s="364" customFormat="1" ht="12.75">
      <c r="A120" s="361"/>
      <c r="B120" s="453" t="s">
        <v>3414</v>
      </c>
      <c r="C120" s="424"/>
      <c r="D120" s="588"/>
      <c r="E120" s="363"/>
    </row>
    <row r="121" spans="1:5" s="364" customFormat="1" ht="12.75">
      <c r="A121" s="361"/>
      <c r="B121" s="453" t="s">
        <v>3415</v>
      </c>
      <c r="C121" s="424"/>
      <c r="D121" s="588"/>
      <c r="E121" s="363"/>
    </row>
    <row r="122" spans="1:5" s="364" customFormat="1" ht="12.75">
      <c r="A122" s="361"/>
      <c r="B122" s="761" t="s">
        <v>857</v>
      </c>
      <c r="C122" s="427" t="s">
        <v>774</v>
      </c>
      <c r="D122" s="588">
        <f>E122/1.18</f>
        <v>275.42372881355936</v>
      </c>
      <c r="E122" s="363">
        <v>325</v>
      </c>
    </row>
    <row r="123" spans="1:5" ht="12.75">
      <c r="A123" s="335" t="s">
        <v>3465</v>
      </c>
      <c r="B123" s="329" t="s">
        <v>3466</v>
      </c>
      <c r="C123" s="20"/>
      <c r="D123" s="514"/>
      <c r="E123" s="363"/>
    </row>
    <row r="124" spans="1:5" ht="12.75">
      <c r="A124" s="330"/>
      <c r="B124" s="405" t="s">
        <v>857</v>
      </c>
      <c r="C124" s="14" t="s">
        <v>774</v>
      </c>
      <c r="D124" s="514">
        <v>379.66</v>
      </c>
      <c r="E124" s="363">
        <v>493</v>
      </c>
    </row>
    <row r="125" spans="1:5" ht="12.75">
      <c r="A125" s="335" t="s">
        <v>3467</v>
      </c>
      <c r="B125" s="329" t="s">
        <v>3468</v>
      </c>
      <c r="C125" s="20"/>
      <c r="D125" s="514"/>
      <c r="E125" s="363"/>
    </row>
    <row r="126" spans="1:5" ht="12.75">
      <c r="A126" s="330"/>
      <c r="B126" s="405" t="s">
        <v>857</v>
      </c>
      <c r="C126" s="14" t="s">
        <v>774</v>
      </c>
      <c r="D126" s="514">
        <v>379.66</v>
      </c>
      <c r="E126" s="363">
        <v>493</v>
      </c>
    </row>
    <row r="127" spans="1:5" ht="12.75">
      <c r="A127" s="329" t="s">
        <v>688</v>
      </c>
      <c r="B127" s="329" t="s">
        <v>1304</v>
      </c>
      <c r="C127" s="20"/>
      <c r="D127" s="514"/>
      <c r="E127" s="363"/>
    </row>
    <row r="128" spans="1:5" ht="12.75">
      <c r="A128" s="330" t="s">
        <v>3469</v>
      </c>
      <c r="B128" s="335" t="s">
        <v>2463</v>
      </c>
      <c r="C128" s="20"/>
      <c r="D128" s="514"/>
      <c r="E128" s="363"/>
    </row>
    <row r="129" spans="1:5" ht="12.75">
      <c r="A129" s="330"/>
      <c r="B129" s="335" t="s">
        <v>1550</v>
      </c>
      <c r="C129" s="8"/>
      <c r="D129" s="514"/>
      <c r="E129" s="363"/>
    </row>
    <row r="130" spans="1:5" ht="12.75">
      <c r="A130" s="330"/>
      <c r="B130" s="335" t="s">
        <v>2669</v>
      </c>
      <c r="C130" s="8"/>
      <c r="D130" s="514"/>
      <c r="E130" s="363"/>
    </row>
    <row r="131" spans="1:5" ht="12.75">
      <c r="A131" s="330"/>
      <c r="B131" s="405" t="s">
        <v>857</v>
      </c>
      <c r="C131" s="14" t="s">
        <v>1553</v>
      </c>
      <c r="D131" s="514">
        <f>E131/1.18</f>
        <v>474.5762711864407</v>
      </c>
      <c r="E131" s="363">
        <v>560</v>
      </c>
    </row>
    <row r="132" spans="1:5" ht="12.75">
      <c r="A132" s="330" t="s">
        <v>3470</v>
      </c>
      <c r="B132" s="335" t="s">
        <v>2464</v>
      </c>
      <c r="C132" s="20"/>
      <c r="D132" s="514"/>
      <c r="E132" s="363"/>
    </row>
    <row r="133" spans="1:5" ht="12.75">
      <c r="A133" s="330"/>
      <c r="B133" s="335" t="s">
        <v>1550</v>
      </c>
      <c r="C133" s="8"/>
      <c r="D133" s="514"/>
      <c r="E133" s="363"/>
    </row>
    <row r="134" spans="1:5" ht="12.75">
      <c r="A134" s="330"/>
      <c r="B134" s="335" t="s">
        <v>2669</v>
      </c>
      <c r="C134" s="8"/>
      <c r="D134" s="514"/>
      <c r="E134" s="363"/>
    </row>
    <row r="135" spans="1:5" ht="12.75">
      <c r="A135" s="330"/>
      <c r="B135" s="405" t="s">
        <v>857</v>
      </c>
      <c r="C135" s="14" t="s">
        <v>1305</v>
      </c>
      <c r="D135" s="514">
        <f>E135/1.18</f>
        <v>406.77966101694915</v>
      </c>
      <c r="E135" s="363">
        <v>480</v>
      </c>
    </row>
    <row r="136" spans="1:5" ht="12.75">
      <c r="A136" s="329" t="s">
        <v>689</v>
      </c>
      <c r="B136" s="329" t="s">
        <v>1306</v>
      </c>
      <c r="C136" s="20"/>
      <c r="D136" s="514"/>
      <c r="E136" s="363"/>
    </row>
    <row r="137" spans="1:5" ht="12.75">
      <c r="A137" s="335" t="s">
        <v>3471</v>
      </c>
      <c r="B137" s="335" t="s">
        <v>3498</v>
      </c>
      <c r="C137" s="8">
        <v>3</v>
      </c>
      <c r="D137" s="514">
        <f>E137/1.18</f>
        <v>417.79661016949154</v>
      </c>
      <c r="E137" s="363">
        <v>493</v>
      </c>
    </row>
    <row r="138" spans="1:5" ht="12.75">
      <c r="A138" s="330" t="s">
        <v>3472</v>
      </c>
      <c r="B138" s="255" t="s">
        <v>3499</v>
      </c>
      <c r="C138" s="8">
        <v>3</v>
      </c>
      <c r="D138" s="31">
        <f>E138/1.18</f>
        <v>417.79661016949154</v>
      </c>
      <c r="E138" s="363">
        <v>493</v>
      </c>
    </row>
    <row r="139" spans="1:5" ht="12.75">
      <c r="A139" s="330" t="s">
        <v>3473</v>
      </c>
      <c r="B139" s="255" t="s">
        <v>3500</v>
      </c>
      <c r="C139" s="8">
        <v>3</v>
      </c>
      <c r="D139" s="31">
        <f aca="true" t="shared" si="0" ref="D139:D152">E139/1.18</f>
        <v>417.79661016949154</v>
      </c>
      <c r="E139" s="363">
        <v>493</v>
      </c>
    </row>
    <row r="140" spans="1:5" ht="12.75">
      <c r="A140" s="330" t="s">
        <v>3474</v>
      </c>
      <c r="B140" s="255" t="s">
        <v>3501</v>
      </c>
      <c r="C140" s="8">
        <v>3</v>
      </c>
      <c r="D140" s="31">
        <f t="shared" si="0"/>
        <v>417.79661016949154</v>
      </c>
      <c r="E140" s="363">
        <v>493</v>
      </c>
    </row>
    <row r="141" spans="1:5" ht="12.75">
      <c r="A141" s="330" t="s">
        <v>3475</v>
      </c>
      <c r="B141" s="255" t="s">
        <v>3502</v>
      </c>
      <c r="C141" s="8">
        <v>3</v>
      </c>
      <c r="D141" s="31">
        <f t="shared" si="0"/>
        <v>417.79661016949154</v>
      </c>
      <c r="E141" s="363">
        <v>493</v>
      </c>
    </row>
    <row r="142" spans="1:5" ht="12.75">
      <c r="A142" s="330" t="s">
        <v>3477</v>
      </c>
      <c r="B142" s="255" t="s">
        <v>3503</v>
      </c>
      <c r="C142" s="8">
        <v>3</v>
      </c>
      <c r="D142" s="31">
        <f>E142/1.18</f>
        <v>417.79661016949154</v>
      </c>
      <c r="E142" s="363">
        <v>493</v>
      </c>
    </row>
    <row r="143" spans="1:5" ht="12.75">
      <c r="A143" s="330" t="s">
        <v>3478</v>
      </c>
      <c r="B143" s="255" t="s">
        <v>3504</v>
      </c>
      <c r="C143" s="8">
        <v>3</v>
      </c>
      <c r="D143" s="31">
        <f t="shared" si="0"/>
        <v>417.79661016949154</v>
      </c>
      <c r="E143" s="363">
        <v>493</v>
      </c>
    </row>
    <row r="144" spans="1:5" ht="12.75">
      <c r="A144" s="330" t="s">
        <v>3479</v>
      </c>
      <c r="B144" s="255" t="s">
        <v>3505</v>
      </c>
      <c r="C144" s="8">
        <v>3</v>
      </c>
      <c r="D144" s="31">
        <f t="shared" si="0"/>
        <v>417.79661016949154</v>
      </c>
      <c r="E144" s="363">
        <v>493</v>
      </c>
    </row>
    <row r="145" spans="1:5" ht="12.75">
      <c r="A145" s="330" t="s">
        <v>3480</v>
      </c>
      <c r="B145" s="255" t="s">
        <v>3506</v>
      </c>
      <c r="C145" s="8">
        <v>3</v>
      </c>
      <c r="D145" s="31">
        <f t="shared" si="0"/>
        <v>417.79661016949154</v>
      </c>
      <c r="E145" s="363">
        <v>493</v>
      </c>
    </row>
    <row r="146" spans="1:5" ht="13.5" customHeight="1">
      <c r="A146" s="330" t="s">
        <v>3481</v>
      </c>
      <c r="B146" s="255" t="s">
        <v>3507</v>
      </c>
      <c r="C146" s="8">
        <v>3</v>
      </c>
      <c r="D146" s="31">
        <f>E146/1.18</f>
        <v>417.79661016949154</v>
      </c>
      <c r="E146" s="363">
        <v>493</v>
      </c>
    </row>
    <row r="147" spans="1:5" ht="12.75">
      <c r="A147" s="330" t="s">
        <v>3482</v>
      </c>
      <c r="B147" s="255" t="s">
        <v>3508</v>
      </c>
      <c r="C147" s="8">
        <v>3</v>
      </c>
      <c r="D147" s="31">
        <f t="shared" si="0"/>
        <v>417.79661016949154</v>
      </c>
      <c r="E147" s="363">
        <v>493</v>
      </c>
    </row>
    <row r="148" spans="1:5" ht="12.75">
      <c r="A148" s="330" t="s">
        <v>3483</v>
      </c>
      <c r="B148" s="255" t="s">
        <v>3509</v>
      </c>
      <c r="C148" s="8">
        <v>3</v>
      </c>
      <c r="D148" s="31">
        <f t="shared" si="0"/>
        <v>417.79661016949154</v>
      </c>
      <c r="E148" s="363">
        <v>493</v>
      </c>
    </row>
    <row r="149" spans="1:5" ht="12.75">
      <c r="A149" s="330" t="s">
        <v>3484</v>
      </c>
      <c r="B149" s="255" t="s">
        <v>3510</v>
      </c>
      <c r="C149" s="8">
        <v>3</v>
      </c>
      <c r="D149" s="31">
        <f t="shared" si="0"/>
        <v>417.79661016949154</v>
      </c>
      <c r="E149" s="363">
        <v>493</v>
      </c>
    </row>
    <row r="150" spans="1:5" ht="12.75">
      <c r="A150" s="330" t="s">
        <v>3485</v>
      </c>
      <c r="B150" s="255" t="s">
        <v>3511</v>
      </c>
      <c r="C150" s="8">
        <v>3</v>
      </c>
      <c r="D150" s="31">
        <f>E150/1.18</f>
        <v>417.79661016949154</v>
      </c>
      <c r="E150" s="363">
        <v>493</v>
      </c>
    </row>
    <row r="151" spans="1:5" ht="12.75">
      <c r="A151" s="330" t="s">
        <v>3486</v>
      </c>
      <c r="B151" s="322" t="s">
        <v>3512</v>
      </c>
      <c r="C151" s="20">
        <v>3</v>
      </c>
      <c r="D151" s="31">
        <f t="shared" si="0"/>
        <v>417.79661016949154</v>
      </c>
      <c r="E151" s="363">
        <v>493</v>
      </c>
    </row>
    <row r="152" spans="1:5" ht="12.75">
      <c r="A152" s="330" t="s">
        <v>3487</v>
      </c>
      <c r="B152" s="322" t="s">
        <v>3513</v>
      </c>
      <c r="C152" s="20">
        <v>3</v>
      </c>
      <c r="D152" s="31">
        <f t="shared" si="0"/>
        <v>417.79661016949154</v>
      </c>
      <c r="E152" s="363">
        <v>493</v>
      </c>
    </row>
    <row r="153" spans="1:5" ht="12.75">
      <c r="A153" s="330" t="s">
        <v>3488</v>
      </c>
      <c r="B153" s="439" t="s">
        <v>3514</v>
      </c>
      <c r="C153" s="8">
        <v>6</v>
      </c>
      <c r="D153" s="31">
        <f aca="true" t="shared" si="1" ref="D153:D164">E153/1.18</f>
        <v>417.79661016949154</v>
      </c>
      <c r="E153" s="363">
        <v>493</v>
      </c>
    </row>
    <row r="154" spans="1:5" ht="12.75">
      <c r="A154" s="330" t="s">
        <v>3489</v>
      </c>
      <c r="B154" s="439" t="s">
        <v>3515</v>
      </c>
      <c r="C154" s="8">
        <v>6</v>
      </c>
      <c r="D154" s="31">
        <f t="shared" si="1"/>
        <v>417.79661016949154</v>
      </c>
      <c r="E154" s="363">
        <v>493</v>
      </c>
    </row>
    <row r="155" spans="1:5" ht="12.75">
      <c r="A155" s="330" t="s">
        <v>3490</v>
      </c>
      <c r="B155" s="439" t="s">
        <v>3516</v>
      </c>
      <c r="C155" s="8"/>
      <c r="D155" s="31">
        <f t="shared" si="1"/>
        <v>417.79661016949154</v>
      </c>
      <c r="E155" s="363">
        <v>493</v>
      </c>
    </row>
    <row r="156" spans="1:5" ht="12.75">
      <c r="A156" s="330" t="s">
        <v>3491</v>
      </c>
      <c r="B156" s="439" t="s">
        <v>3517</v>
      </c>
      <c r="C156" s="8"/>
      <c r="D156" s="31">
        <f t="shared" si="1"/>
        <v>417.79661016949154</v>
      </c>
      <c r="E156" s="363">
        <v>493</v>
      </c>
    </row>
    <row r="157" spans="1:5" ht="12.75">
      <c r="A157" s="330" t="s">
        <v>3492</v>
      </c>
      <c r="B157" s="439" t="s">
        <v>3518</v>
      </c>
      <c r="C157" s="8"/>
      <c r="D157" s="31">
        <f t="shared" si="1"/>
        <v>417.79661016949154</v>
      </c>
      <c r="E157" s="363">
        <v>493</v>
      </c>
    </row>
    <row r="158" spans="1:5" ht="12.75">
      <c r="A158" s="330" t="s">
        <v>3493</v>
      </c>
      <c r="B158" s="697" t="s">
        <v>3519</v>
      </c>
      <c r="C158" s="8"/>
      <c r="D158" s="31">
        <f t="shared" si="1"/>
        <v>417.79661016949154</v>
      </c>
      <c r="E158" s="363">
        <v>493</v>
      </c>
    </row>
    <row r="159" spans="1:5" ht="12.75">
      <c r="A159" s="330" t="s">
        <v>3494</v>
      </c>
      <c r="B159" s="697" t="s">
        <v>3520</v>
      </c>
      <c r="C159" s="8"/>
      <c r="D159" s="31">
        <f t="shared" si="1"/>
        <v>417.79661016949154</v>
      </c>
      <c r="E159" s="363">
        <v>493</v>
      </c>
    </row>
    <row r="160" spans="1:5" ht="12.75">
      <c r="A160" s="330" t="s">
        <v>3495</v>
      </c>
      <c r="B160" s="697" t="s">
        <v>3521</v>
      </c>
      <c r="C160" s="8"/>
      <c r="D160" s="31">
        <f t="shared" si="1"/>
        <v>417.79661016949154</v>
      </c>
      <c r="E160" s="363">
        <v>493</v>
      </c>
    </row>
    <row r="161" spans="1:5" ht="12.75">
      <c r="A161" s="330" t="s">
        <v>3496</v>
      </c>
      <c r="B161" s="698" t="s">
        <v>1631</v>
      </c>
      <c r="C161" s="8"/>
      <c r="D161" s="31">
        <f t="shared" si="1"/>
        <v>832.2033898305085</v>
      </c>
      <c r="E161" s="363">
        <v>982</v>
      </c>
    </row>
    <row r="162" spans="1:5" ht="12.75">
      <c r="A162" s="330" t="s">
        <v>3497</v>
      </c>
      <c r="B162" s="698" t="s">
        <v>1632</v>
      </c>
      <c r="C162" s="8"/>
      <c r="D162" s="31">
        <f t="shared" si="1"/>
        <v>832.2033898305085</v>
      </c>
      <c r="E162" s="363">
        <v>982</v>
      </c>
    </row>
    <row r="163" spans="1:5" ht="12.75">
      <c r="A163" s="459" t="s">
        <v>690</v>
      </c>
      <c r="B163" s="28" t="s">
        <v>549</v>
      </c>
      <c r="C163" s="20">
        <v>6</v>
      </c>
      <c r="D163" s="31">
        <f t="shared" si="1"/>
        <v>832.2033898305085</v>
      </c>
      <c r="E163" s="363">
        <v>982</v>
      </c>
    </row>
    <row r="164" spans="1:5" ht="25.5">
      <c r="A164" s="459" t="s">
        <v>691</v>
      </c>
      <c r="B164" s="359" t="s">
        <v>3476</v>
      </c>
      <c r="C164" s="20">
        <v>6</v>
      </c>
      <c r="D164" s="31">
        <f t="shared" si="1"/>
        <v>1127.1186440677966</v>
      </c>
      <c r="E164" s="699">
        <v>1330</v>
      </c>
    </row>
    <row r="165" spans="1:5" ht="12.75">
      <c r="A165" s="459" t="s">
        <v>3542</v>
      </c>
      <c r="B165" s="452" t="s">
        <v>3540</v>
      </c>
      <c r="C165" s="424" t="s">
        <v>3541</v>
      </c>
      <c r="D165" s="588">
        <v>74.6</v>
      </c>
      <c r="E165" s="363">
        <v>97</v>
      </c>
    </row>
    <row r="166" spans="1:11" ht="12.75" customHeight="1">
      <c r="A166" s="218"/>
      <c r="D166" s="60"/>
      <c r="E166" s="444"/>
      <c r="F166" s="976"/>
      <c r="G166" s="976"/>
      <c r="H166" s="976"/>
      <c r="I166" s="976"/>
      <c r="J166" s="976"/>
      <c r="K166" s="976"/>
    </row>
    <row r="167" spans="2:5" ht="15">
      <c r="B167" s="85"/>
      <c r="C167" s="605"/>
      <c r="D167" s="607"/>
      <c r="E167" s="608"/>
    </row>
    <row r="168" spans="2:5" ht="22.5" customHeight="1">
      <c r="B168" s="609" t="s">
        <v>2819</v>
      </c>
      <c r="C168" s="610"/>
      <c r="D168" s="606"/>
      <c r="E168" s="611" t="s">
        <v>2820</v>
      </c>
    </row>
  </sheetData>
  <sheetProtection/>
  <autoFilter ref="A18:C18"/>
  <mergeCells count="7">
    <mergeCell ref="B11:E11"/>
    <mergeCell ref="F166:K166"/>
    <mergeCell ref="A20:E20"/>
    <mergeCell ref="A13:E13"/>
    <mergeCell ref="A14:E14"/>
    <mergeCell ref="A15:E15"/>
    <mergeCell ref="A16:E16"/>
  </mergeCells>
  <printOptions/>
  <pageMargins left="0.5118110236220472" right="0.3937007874015748" top="0.31496062992125984" bottom="0.3937007874015748" header="0.1968503937007874" footer="0.9448818897637796"/>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8:F103"/>
  <sheetViews>
    <sheetView zoomScalePageLayoutView="0" workbookViewId="0" topLeftCell="A8">
      <selection activeCell="I23" sqref="I23"/>
    </sheetView>
  </sheetViews>
  <sheetFormatPr defaultColWidth="9.00390625" defaultRowHeight="12.75"/>
  <cols>
    <col min="1" max="1" width="7.625" style="179" customWidth="1"/>
    <col min="2" max="2" width="49.875" style="2" customWidth="1"/>
    <col min="3" max="3" width="16.25390625" style="0" customWidth="1"/>
    <col min="4" max="4" width="13.25390625" style="0" customWidth="1"/>
  </cols>
  <sheetData>
    <row r="1" ht="12.75" customHeight="1" hidden="1"/>
    <row r="2" ht="12.75" customHeight="1" hidden="1"/>
    <row r="3" ht="12.75" customHeight="1" hidden="1"/>
    <row r="4" ht="12.75" customHeight="1" hidden="1"/>
    <row r="5" ht="12.75" customHeight="1" hidden="1"/>
    <row r="6" ht="12.75" customHeight="1" hidden="1"/>
    <row r="7" ht="12.75" customHeight="1" hidden="1"/>
    <row r="8" spans="1:4" ht="12.75">
      <c r="A8" s="121"/>
      <c r="B8" s="5"/>
      <c r="D8" s="4" t="s">
        <v>2471</v>
      </c>
    </row>
    <row r="9" spans="1:4" ht="12.75">
      <c r="A9" s="121"/>
      <c r="B9" s="5"/>
      <c r="D9" s="81" t="s">
        <v>2822</v>
      </c>
    </row>
    <row r="10" spans="1:4" ht="12.75">
      <c r="A10" s="121"/>
      <c r="B10" s="5"/>
      <c r="D10" s="81" t="s">
        <v>3556</v>
      </c>
    </row>
    <row r="11" spans="1:4" ht="14.25" customHeight="1">
      <c r="A11" s="121"/>
      <c r="B11" s="5"/>
      <c r="D11" s="81"/>
    </row>
    <row r="12" spans="1:6" ht="15" customHeight="1">
      <c r="A12" s="897" t="s">
        <v>3551</v>
      </c>
      <c r="B12" s="897"/>
      <c r="C12" s="897"/>
      <c r="D12" s="897"/>
      <c r="E12" s="214"/>
      <c r="F12" s="78"/>
    </row>
    <row r="13" spans="1:6" ht="15" customHeight="1">
      <c r="A13" s="897" t="s">
        <v>2823</v>
      </c>
      <c r="B13" s="897"/>
      <c r="C13" s="897"/>
      <c r="D13" s="897"/>
      <c r="E13" s="214"/>
      <c r="F13" s="78"/>
    </row>
    <row r="14" spans="1:6" ht="15" customHeight="1">
      <c r="A14" s="898" t="s">
        <v>1161</v>
      </c>
      <c r="B14" s="898"/>
      <c r="C14" s="898"/>
      <c r="D14" s="898"/>
      <c r="E14" s="215"/>
      <c r="F14" s="84"/>
    </row>
    <row r="15" spans="1:5" s="22" customFormat="1" ht="15.75">
      <c r="A15" s="899" t="s">
        <v>3553</v>
      </c>
      <c r="B15" s="899"/>
      <c r="C15" s="899"/>
      <c r="D15" s="899"/>
      <c r="E15" s="216"/>
    </row>
    <row r="16" ht="15" customHeight="1" thickBot="1"/>
    <row r="17" spans="1:4" ht="13.5" thickBot="1">
      <c r="A17" s="630" t="s">
        <v>2522</v>
      </c>
      <c r="B17" s="631" t="s">
        <v>779</v>
      </c>
      <c r="C17" s="56" t="s">
        <v>336</v>
      </c>
      <c r="D17" s="49" t="s">
        <v>337</v>
      </c>
    </row>
    <row r="18" spans="1:4" ht="13.5" thickBot="1">
      <c r="A18" s="254">
        <v>1</v>
      </c>
      <c r="B18" s="63">
        <v>2</v>
      </c>
      <c r="C18" s="49">
        <v>3</v>
      </c>
      <c r="D18" s="62">
        <v>4</v>
      </c>
    </row>
    <row r="19" spans="1:4" ht="25.5" customHeight="1" thickBot="1">
      <c r="A19" s="959" t="s">
        <v>692</v>
      </c>
      <c r="B19" s="960"/>
      <c r="C19" s="960"/>
      <c r="D19" s="961"/>
    </row>
    <row r="20" spans="1:4" s="111" customFormat="1" ht="15" customHeight="1" thickBot="1">
      <c r="A20" s="222" t="s">
        <v>1908</v>
      </c>
      <c r="B20" s="983" t="s">
        <v>1154</v>
      </c>
      <c r="C20" s="983"/>
      <c r="D20" s="984"/>
    </row>
    <row r="21" spans="1:4" ht="12.75">
      <c r="A21" s="266" t="s">
        <v>1980</v>
      </c>
      <c r="B21" s="280" t="s">
        <v>1155</v>
      </c>
      <c r="C21" s="95"/>
      <c r="D21" s="235"/>
    </row>
    <row r="22" spans="1:5" ht="12.75">
      <c r="A22" s="267"/>
      <c r="B22" s="281" t="s">
        <v>857</v>
      </c>
      <c r="C22" s="88">
        <f>239.87*1.1</f>
        <v>263.857</v>
      </c>
      <c r="D22" s="629">
        <f>C22*1.18</f>
        <v>311.35126</v>
      </c>
      <c r="E22" s="94"/>
    </row>
    <row r="23" spans="1:4" ht="12.75">
      <c r="A23" s="268" t="s">
        <v>1981</v>
      </c>
      <c r="B23" s="282" t="s">
        <v>1156</v>
      </c>
      <c r="C23" s="37"/>
      <c r="D23" s="236"/>
    </row>
    <row r="24" spans="1:5" ht="12.75">
      <c r="A24" s="267"/>
      <c r="B24" s="281" t="s">
        <v>857</v>
      </c>
      <c r="C24" s="88">
        <f>302.94*1.1</f>
        <v>333.23400000000004</v>
      </c>
      <c r="D24" s="629">
        <f>C24*1.18</f>
        <v>393.21612000000005</v>
      </c>
      <c r="E24" s="94"/>
    </row>
    <row r="25" spans="1:4" ht="25.5">
      <c r="A25" s="268" t="s">
        <v>693</v>
      </c>
      <c r="B25" s="282" t="s">
        <v>1157</v>
      </c>
      <c r="C25" s="80"/>
      <c r="D25" s="75"/>
    </row>
    <row r="26" spans="1:5" ht="12.75">
      <c r="A26" s="267"/>
      <c r="B26" s="281" t="s">
        <v>857</v>
      </c>
      <c r="C26" s="88">
        <f>557.15*1.1</f>
        <v>612.865</v>
      </c>
      <c r="D26" s="629">
        <f>C26*1.18</f>
        <v>723.1807</v>
      </c>
      <c r="E26" s="94"/>
    </row>
    <row r="27" spans="1:4" ht="12.75">
      <c r="A27" s="269" t="s">
        <v>694</v>
      </c>
      <c r="B27" s="282" t="s">
        <v>1158</v>
      </c>
      <c r="C27" s="80"/>
      <c r="D27" s="75"/>
    </row>
    <row r="28" spans="1:5" ht="12.75">
      <c r="A28" s="267"/>
      <c r="B28" s="281" t="s">
        <v>857</v>
      </c>
      <c r="C28" s="88">
        <f>557.15*1.1</f>
        <v>612.865</v>
      </c>
      <c r="D28" s="629">
        <f>C28*1.18</f>
        <v>723.1807</v>
      </c>
      <c r="E28" s="94"/>
    </row>
    <row r="29" spans="1:4" ht="38.25">
      <c r="A29" s="268" t="s">
        <v>1982</v>
      </c>
      <c r="B29" s="285" t="s">
        <v>3024</v>
      </c>
      <c r="C29" s="87"/>
      <c r="D29" s="237"/>
    </row>
    <row r="30" spans="1:4" ht="12.75">
      <c r="A30" s="267"/>
      <c r="B30" s="281" t="s">
        <v>857</v>
      </c>
      <c r="C30" s="88">
        <f>811.35*1.1</f>
        <v>892.4850000000001</v>
      </c>
      <c r="D30" s="629">
        <f>C30*1.18</f>
        <v>1053.1323</v>
      </c>
    </row>
    <row r="31" spans="1:5" ht="12.75">
      <c r="A31" s="268" t="s">
        <v>1983</v>
      </c>
      <c r="B31" s="282" t="s">
        <v>2253</v>
      </c>
      <c r="C31" s="80"/>
      <c r="D31" s="75"/>
      <c r="E31" s="94"/>
    </row>
    <row r="32" spans="1:4" ht="12.75">
      <c r="A32" s="267"/>
      <c r="B32" s="281" t="s">
        <v>857</v>
      </c>
      <c r="C32" s="88">
        <f>287.65*1.1</f>
        <v>316.415</v>
      </c>
      <c r="D32" s="629">
        <f>C32*1.18</f>
        <v>373.3697</v>
      </c>
    </row>
    <row r="33" spans="1:5" ht="12.75">
      <c r="A33" s="268" t="s">
        <v>1984</v>
      </c>
      <c r="B33" s="282" t="s">
        <v>2402</v>
      </c>
      <c r="C33" s="80"/>
      <c r="D33" s="75"/>
      <c r="E33" s="94"/>
    </row>
    <row r="34" spans="1:4" ht="12.75">
      <c r="A34" s="267"/>
      <c r="B34" s="284" t="s">
        <v>857</v>
      </c>
      <c r="C34" s="88">
        <f>207.37*1.1</f>
        <v>228.10700000000003</v>
      </c>
      <c r="D34" s="629">
        <f>C34*1.18</f>
        <v>269.16626</v>
      </c>
    </row>
    <row r="35" spans="1:5" ht="12.75">
      <c r="A35" s="268" t="s">
        <v>1985</v>
      </c>
      <c r="B35" s="282" t="s">
        <v>2403</v>
      </c>
      <c r="C35" s="80"/>
      <c r="D35" s="75"/>
      <c r="E35" s="94"/>
    </row>
    <row r="36" spans="1:4" ht="12.75">
      <c r="A36" s="267"/>
      <c r="B36" s="284" t="s">
        <v>857</v>
      </c>
      <c r="C36" s="88">
        <f>239.87*1.1</f>
        <v>263.857</v>
      </c>
      <c r="D36" s="629">
        <f>C36*1.18</f>
        <v>311.35126</v>
      </c>
    </row>
    <row r="37" spans="1:5" ht="12.75">
      <c r="A37" s="268" t="s">
        <v>1986</v>
      </c>
      <c r="B37" s="285" t="s">
        <v>3025</v>
      </c>
      <c r="C37" s="80"/>
      <c r="D37" s="75"/>
      <c r="E37" s="94"/>
    </row>
    <row r="38" spans="1:4" ht="12.75">
      <c r="A38" s="270"/>
      <c r="B38" s="281" t="s">
        <v>857</v>
      </c>
      <c r="C38" s="88">
        <f>239.87*1.1</f>
        <v>263.857</v>
      </c>
      <c r="D38" s="629">
        <f>C38*1.18</f>
        <v>311.35126</v>
      </c>
    </row>
    <row r="39" spans="1:5" ht="12.75">
      <c r="A39" s="268" t="s">
        <v>1987</v>
      </c>
      <c r="B39" s="282" t="s">
        <v>2405</v>
      </c>
      <c r="C39" s="19"/>
      <c r="D39" s="75"/>
      <c r="E39" s="94"/>
    </row>
    <row r="40" spans="1:5" ht="12.75">
      <c r="A40" s="273"/>
      <c r="B40" s="281" t="s">
        <v>857</v>
      </c>
      <c r="C40" s="88">
        <f>477.84*1.1</f>
        <v>525.624</v>
      </c>
      <c r="D40" s="629">
        <f>C40*1.18</f>
        <v>620.23632</v>
      </c>
      <c r="E40" s="94"/>
    </row>
    <row r="41" spans="1:5" ht="25.5">
      <c r="A41" s="268" t="s">
        <v>1988</v>
      </c>
      <c r="B41" s="282" t="s">
        <v>2406</v>
      </c>
      <c r="C41" s="80"/>
      <c r="D41" s="75"/>
      <c r="E41" s="94"/>
    </row>
    <row r="42" spans="1:5" ht="12.75">
      <c r="A42" s="274"/>
      <c r="B42" s="281" t="s">
        <v>857</v>
      </c>
      <c r="C42" s="88">
        <f>317.28*1.1</f>
        <v>349.008</v>
      </c>
      <c r="D42" s="629">
        <f>C42*1.18</f>
        <v>411.82944</v>
      </c>
      <c r="E42" s="94"/>
    </row>
    <row r="43" spans="1:4" ht="25.5">
      <c r="A43" s="272" t="s">
        <v>1989</v>
      </c>
      <c r="B43" s="637" t="s">
        <v>3402</v>
      </c>
      <c r="C43" s="103"/>
      <c r="D43" s="238"/>
    </row>
    <row r="44" spans="1:4" ht="12.75">
      <c r="A44" s="448"/>
      <c r="B44" s="197" t="s">
        <v>2404</v>
      </c>
      <c r="C44" s="104">
        <f>494.07*1.1</f>
        <v>543.4770000000001</v>
      </c>
      <c r="D44" s="629">
        <f>C44*1.18</f>
        <v>641.3028600000001</v>
      </c>
    </row>
    <row r="45" spans="1:5" ht="25.5">
      <c r="A45" s="279" t="s">
        <v>1990</v>
      </c>
      <c r="B45" s="282" t="s">
        <v>2407</v>
      </c>
      <c r="C45" s="88">
        <f>95.57*1.1</f>
        <v>105.127</v>
      </c>
      <c r="D45" s="629">
        <f>C45*1.18</f>
        <v>124.04985999999998</v>
      </c>
      <c r="E45" s="94"/>
    </row>
    <row r="46" spans="1:4" ht="15.75">
      <c r="A46" s="275" t="s">
        <v>1909</v>
      </c>
      <c r="B46" s="977" t="s">
        <v>1319</v>
      </c>
      <c r="C46" s="978"/>
      <c r="D46" s="979"/>
    </row>
    <row r="47" spans="1:5" ht="12.75">
      <c r="A47" s="268" t="s">
        <v>1991</v>
      </c>
      <c r="B47" s="286" t="s">
        <v>2299</v>
      </c>
      <c r="C47" s="37"/>
      <c r="D47" s="37"/>
      <c r="E47" s="94"/>
    </row>
    <row r="48" spans="1:5" ht="12.75">
      <c r="A48" s="267"/>
      <c r="B48" s="287" t="s">
        <v>2300</v>
      </c>
      <c r="C48" s="88">
        <f>111.81*1.1</f>
        <v>122.99100000000001</v>
      </c>
      <c r="D48" s="629">
        <f>C48*1.18</f>
        <v>145.12938</v>
      </c>
      <c r="E48" s="94"/>
    </row>
    <row r="49" spans="1:4" ht="25.5">
      <c r="A49" s="268" t="s">
        <v>1992</v>
      </c>
      <c r="B49" s="282" t="s">
        <v>2301</v>
      </c>
      <c r="C49" s="89"/>
      <c r="D49" s="223"/>
    </row>
    <row r="50" spans="1:4" ht="12.75">
      <c r="A50" s="267"/>
      <c r="B50" s="282" t="s">
        <v>2302</v>
      </c>
      <c r="C50" s="88">
        <f>431*1.1</f>
        <v>474.1</v>
      </c>
      <c r="D50" s="629">
        <f>C50*1.18</f>
        <v>559.438</v>
      </c>
    </row>
    <row r="51" spans="1:5" ht="12.75">
      <c r="A51" s="268" t="s">
        <v>1993</v>
      </c>
      <c r="B51" s="285" t="s">
        <v>3026</v>
      </c>
      <c r="E51" s="94"/>
    </row>
    <row r="52" spans="1:5" ht="12.75">
      <c r="A52" s="267"/>
      <c r="B52" s="125" t="s">
        <v>2303</v>
      </c>
      <c r="C52" s="88">
        <f>224.58*1.1</f>
        <v>247.03800000000004</v>
      </c>
      <c r="D52" s="629">
        <f>C52*1.18</f>
        <v>291.50484000000006</v>
      </c>
      <c r="E52" s="94"/>
    </row>
    <row r="53" spans="1:2" ht="12.75">
      <c r="A53" s="268" t="s">
        <v>1994</v>
      </c>
      <c r="B53" s="285" t="s">
        <v>3027</v>
      </c>
    </row>
    <row r="54" spans="1:5" ht="12.75">
      <c r="A54" s="268"/>
      <c r="B54" s="282" t="s">
        <v>2302</v>
      </c>
      <c r="C54" s="88">
        <f>96.52*1.1</f>
        <v>106.17200000000001</v>
      </c>
      <c r="D54" s="629">
        <f>C54*1.18</f>
        <v>125.28296</v>
      </c>
      <c r="E54" s="94"/>
    </row>
    <row r="55" spans="1:5" ht="25.5">
      <c r="A55" s="268" t="s">
        <v>1995</v>
      </c>
      <c r="B55" s="285" t="s">
        <v>3028</v>
      </c>
      <c r="C55" s="37"/>
      <c r="D55" s="37"/>
      <c r="E55" s="94"/>
    </row>
    <row r="56" spans="1:5" ht="12.75">
      <c r="A56" s="276"/>
      <c r="B56" s="288" t="s">
        <v>2302</v>
      </c>
      <c r="C56" s="88">
        <f>81.23*1.1</f>
        <v>89.35300000000001</v>
      </c>
      <c r="D56" s="629">
        <f>C56*1.18</f>
        <v>105.43654000000001</v>
      </c>
      <c r="E56" s="94"/>
    </row>
    <row r="57" spans="1:5" ht="12.75">
      <c r="A57" s="271" t="s">
        <v>1996</v>
      </c>
      <c r="B57" s="324" t="s">
        <v>3029</v>
      </c>
      <c r="C57" s="325"/>
      <c r="D57" s="238"/>
      <c r="E57" s="94"/>
    </row>
    <row r="58" spans="1:5" ht="12.75">
      <c r="A58" s="271"/>
      <c r="B58" s="285" t="s">
        <v>2302</v>
      </c>
      <c r="C58" s="104">
        <f>230.32*1.1</f>
        <v>253.352</v>
      </c>
      <c r="D58" s="629">
        <f>C58*1.18</f>
        <v>298.95536</v>
      </c>
      <c r="E58" s="94"/>
    </row>
    <row r="59" spans="1:5" ht="12.75">
      <c r="A59" s="449"/>
      <c r="B59" s="324" t="s">
        <v>3030</v>
      </c>
      <c r="C59" s="10"/>
      <c r="D59" s="238"/>
      <c r="E59" s="94"/>
    </row>
    <row r="60" spans="1:5" ht="12.75">
      <c r="A60" s="450"/>
      <c r="B60" s="285" t="s">
        <v>2302</v>
      </c>
      <c r="C60" s="104">
        <f>230.32*1.1</f>
        <v>253.352</v>
      </c>
      <c r="D60" s="629">
        <f>C60*1.18</f>
        <v>298.95536</v>
      </c>
      <c r="E60" s="94"/>
    </row>
    <row r="61" spans="1:5" ht="12.75">
      <c r="A61" s="450"/>
      <c r="B61" s="324" t="s">
        <v>3031</v>
      </c>
      <c r="C61" s="325"/>
      <c r="D61" s="238"/>
      <c r="E61" s="94"/>
    </row>
    <row r="62" spans="1:5" ht="12.75">
      <c r="A62" s="450"/>
      <c r="B62" s="285" t="s">
        <v>2302</v>
      </c>
      <c r="C62" s="104">
        <f>230.32*1.1</f>
        <v>253.352</v>
      </c>
      <c r="D62" s="629">
        <f>C62*1.18</f>
        <v>298.95536</v>
      </c>
      <c r="E62" s="94"/>
    </row>
    <row r="63" spans="1:5" s="10" customFormat="1" ht="25.5">
      <c r="A63" s="326" t="s">
        <v>1977</v>
      </c>
      <c r="B63" s="324" t="s">
        <v>3032</v>
      </c>
      <c r="C63" s="325"/>
      <c r="D63" s="238"/>
      <c r="E63" s="106"/>
    </row>
    <row r="64" spans="1:5" s="10" customFormat="1" ht="12.75">
      <c r="A64" s="272"/>
      <c r="B64" s="285" t="s">
        <v>2302</v>
      </c>
      <c r="C64" s="104">
        <f>239.88*1.1</f>
        <v>263.868</v>
      </c>
      <c r="D64" s="629">
        <f>C64*1.18</f>
        <v>311.36424</v>
      </c>
      <c r="E64" s="106"/>
    </row>
    <row r="65" spans="1:5" s="10" customFormat="1" ht="25.5">
      <c r="A65" s="268" t="s">
        <v>1997</v>
      </c>
      <c r="B65" s="451" t="s">
        <v>3033</v>
      </c>
      <c r="C65" s="632"/>
      <c r="D65" s="37"/>
      <c r="E65" s="106"/>
    </row>
    <row r="66" spans="1:5" s="10" customFormat="1" ht="12.75">
      <c r="A66" s="274"/>
      <c r="B66" s="282" t="s">
        <v>2302</v>
      </c>
      <c r="C66" s="88">
        <f>1306.4*1.1</f>
        <v>1437.0400000000002</v>
      </c>
      <c r="D66" s="629">
        <f>C66*1.18</f>
        <v>1695.7072</v>
      </c>
      <c r="E66" s="106"/>
    </row>
    <row r="67" spans="1:5" s="10" customFormat="1" ht="12.75">
      <c r="A67" s="268" t="s">
        <v>1998</v>
      </c>
      <c r="B67" s="282" t="s">
        <v>701</v>
      </c>
      <c r="C67"/>
      <c r="D67"/>
      <c r="E67" s="106"/>
    </row>
    <row r="68" spans="1:5" ht="12.75">
      <c r="A68" s="270"/>
      <c r="B68" s="282" t="s">
        <v>2302</v>
      </c>
      <c r="C68" s="88">
        <f>224.58*1.1</f>
        <v>247.03800000000004</v>
      </c>
      <c r="D68" s="629">
        <f>C68*1.18</f>
        <v>291.50484000000006</v>
      </c>
      <c r="E68" s="94"/>
    </row>
    <row r="69" spans="1:5" ht="12.75">
      <c r="A69" s="268" t="s">
        <v>1999</v>
      </c>
      <c r="B69" s="282" t="s">
        <v>3034</v>
      </c>
      <c r="C69" s="80"/>
      <c r="D69" s="75"/>
      <c r="E69" s="94"/>
    </row>
    <row r="70" spans="1:5" ht="12.75">
      <c r="A70" s="277"/>
      <c r="B70" s="288" t="s">
        <v>2302</v>
      </c>
      <c r="C70" s="88">
        <f>606.84*1.1</f>
        <v>667.5240000000001</v>
      </c>
      <c r="D70" s="629">
        <f>C70*1.18</f>
        <v>787.6783200000001</v>
      </c>
      <c r="E70" s="94"/>
    </row>
    <row r="71" spans="1:5" ht="12.75">
      <c r="A71" s="278" t="s">
        <v>2000</v>
      </c>
      <c r="B71" s="289" t="s">
        <v>785</v>
      </c>
      <c r="C71" s="264">
        <f>286.7*1.1</f>
        <v>315.37</v>
      </c>
      <c r="D71" s="629">
        <f>C71*1.18</f>
        <v>372.1366</v>
      </c>
      <c r="E71" s="94"/>
    </row>
    <row r="72" spans="1:5" ht="15.75">
      <c r="A72" s="292" t="s">
        <v>2657</v>
      </c>
      <c r="B72" s="980" t="s">
        <v>2658</v>
      </c>
      <c r="C72" s="981"/>
      <c r="D72" s="982"/>
      <c r="E72" s="94"/>
    </row>
    <row r="73" spans="1:5" ht="25.5">
      <c r="A73" s="279" t="s">
        <v>2659</v>
      </c>
      <c r="B73" s="290" t="s">
        <v>2660</v>
      </c>
      <c r="C73" s="82"/>
      <c r="D73" s="184"/>
      <c r="E73" s="94"/>
    </row>
    <row r="74" spans="1:5" ht="12.75">
      <c r="A74" s="270"/>
      <c r="B74" s="282" t="s">
        <v>2302</v>
      </c>
      <c r="C74" s="88">
        <f>267.59*1.1</f>
        <v>294.349</v>
      </c>
      <c r="D74" s="629">
        <f>C74*1.18</f>
        <v>347.33182</v>
      </c>
      <c r="E74" s="94"/>
    </row>
    <row r="75" spans="1:5" ht="25.5">
      <c r="A75" s="279" t="s">
        <v>2661</v>
      </c>
      <c r="B75" s="290" t="s">
        <v>2662</v>
      </c>
      <c r="C75" s="82"/>
      <c r="D75" s="184"/>
      <c r="E75" s="94"/>
    </row>
    <row r="76" spans="1:5" ht="13.5" thickBot="1">
      <c r="A76" s="293"/>
      <c r="B76" s="291" t="s">
        <v>2302</v>
      </c>
      <c r="C76" s="224">
        <f>363.16*1.1</f>
        <v>399.47600000000006</v>
      </c>
      <c r="D76" s="629">
        <f>C76*1.18</f>
        <v>471.38168</v>
      </c>
      <c r="E76" s="94"/>
    </row>
    <row r="77" spans="1:5" ht="12.75">
      <c r="A77" s="219"/>
      <c r="B77" s="22"/>
      <c r="C77" s="97"/>
      <c r="D77" s="98"/>
      <c r="E77" s="94"/>
    </row>
    <row r="78" spans="1:5" ht="12.75">
      <c r="A78" s="219"/>
      <c r="B78" s="22"/>
      <c r="C78" s="97"/>
      <c r="D78" s="98"/>
      <c r="E78" s="94"/>
    </row>
    <row r="79" spans="1:5" ht="12.75">
      <c r="A79" s="221"/>
      <c r="B79" s="60"/>
      <c r="C79" s="97"/>
      <c r="D79" s="628"/>
      <c r="E79" s="94"/>
    </row>
    <row r="80" spans="1:5" ht="15.75" customHeight="1">
      <c r="A80" s="220"/>
      <c r="B80" s="99"/>
      <c r="C80" s="97"/>
      <c r="D80" s="628"/>
      <c r="E80" s="94"/>
    </row>
    <row r="81" spans="1:4" ht="15.75">
      <c r="A81" s="221"/>
      <c r="B81" s="340" t="s">
        <v>2819</v>
      </c>
      <c r="D81" s="626" t="s">
        <v>2820</v>
      </c>
    </row>
    <row r="82" spans="1:5" ht="12.75">
      <c r="A82" s="221"/>
      <c r="B82" s="97"/>
      <c r="C82" s="97"/>
      <c r="D82" s="98"/>
      <c r="E82" s="94"/>
    </row>
    <row r="83" ht="12.75">
      <c r="E83" s="94"/>
    </row>
    <row r="84" ht="12.75">
      <c r="E84" s="94"/>
    </row>
    <row r="85" ht="12.75">
      <c r="E85" s="94"/>
    </row>
    <row r="86" ht="12.75">
      <c r="E86" s="94"/>
    </row>
    <row r="88" ht="12.75">
      <c r="E88" s="94"/>
    </row>
    <row r="89" ht="12.75">
      <c r="E89" s="94"/>
    </row>
    <row r="90" ht="12.75">
      <c r="E90" s="94"/>
    </row>
    <row r="91" ht="12.75">
      <c r="E91" s="94"/>
    </row>
    <row r="92" ht="12.75">
      <c r="E92" s="94"/>
    </row>
    <row r="93" ht="12.75">
      <c r="E93" s="94"/>
    </row>
    <row r="98" ht="12.75" customHeight="1" hidden="1"/>
    <row r="99" ht="15.75" customHeight="1" hidden="1"/>
    <row r="100" ht="15.75" customHeight="1" hidden="1"/>
    <row r="101" ht="12.75" customHeight="1" hidden="1"/>
    <row r="103" spans="1:4" s="385" customFormat="1" ht="12.75">
      <c r="A103" s="179"/>
      <c r="B103" s="2"/>
      <c r="C103"/>
      <c r="D103"/>
    </row>
  </sheetData>
  <sheetProtection/>
  <mergeCells count="8">
    <mergeCell ref="B46:D46"/>
    <mergeCell ref="B72:D72"/>
    <mergeCell ref="A12:D12"/>
    <mergeCell ref="A13:D13"/>
    <mergeCell ref="B20:D20"/>
    <mergeCell ref="A14:D14"/>
    <mergeCell ref="A15:D15"/>
    <mergeCell ref="A19:D19"/>
  </mergeCells>
  <printOptions/>
  <pageMargins left="0.6692913385826772" right="0.2755905511811024" top="0.6299212598425197" bottom="0.9448818897637796" header="0.2362204724409449"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Борисова</cp:lastModifiedBy>
  <cp:lastPrinted>2016-12-14T02:57:26Z</cp:lastPrinted>
  <dcterms:created xsi:type="dcterms:W3CDTF">2006-08-07T00:44:54Z</dcterms:created>
  <dcterms:modified xsi:type="dcterms:W3CDTF">2016-12-20T01:24:45Z</dcterms:modified>
  <cp:category/>
  <cp:version/>
  <cp:contentType/>
  <cp:contentStatus/>
</cp:coreProperties>
</file>